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28" windowWidth="15012" windowHeight="7116" firstSheet="2" activeTab="7"/>
  </bookViews>
  <sheets>
    <sheet name="ПЗ" sheetId="1" r:id="rId1"/>
    <sheet name="Исходные данные" sheetId="2" r:id="rId2"/>
    <sheet name="Результаты" sheetId="3" r:id="rId3"/>
    <sheet name="Расчёты" sheetId="4" r:id="rId4"/>
    <sheet name="Расчёты по годам" sheetId="11" r:id="rId5"/>
    <sheet name="Персонал" sheetId="5" r:id="rId6"/>
    <sheet name="Оборудование" sheetId="6" r:id="rId7"/>
    <sheet name="База" sheetId="7" r:id="rId8"/>
    <sheet name="Транспорт" sheetId="8" r:id="rId9"/>
    <sheet name="Лизинг" sheetId="9" r:id="rId10"/>
    <sheet name="График" sheetId="10" r:id="rId11"/>
  </sheets>
  <calcPr calcId="125725"/>
</workbook>
</file>

<file path=xl/calcChain.xml><?xml version="1.0" encoding="utf-8"?>
<calcChain xmlns="http://schemas.openxmlformats.org/spreadsheetml/2006/main">
  <c r="C44" i="11"/>
  <c r="W37"/>
  <c r="Z37" s="1"/>
  <c r="AA37" s="1"/>
  <c r="AB37" s="1"/>
  <c r="AC37" s="1"/>
  <c r="AD37" s="1"/>
  <c r="AE37" s="1"/>
  <c r="AF37" s="1"/>
  <c r="AG37" s="1"/>
  <c r="AH37" s="1"/>
  <c r="AI37" s="1"/>
  <c r="AJ37" s="1"/>
  <c r="V37"/>
  <c r="U37"/>
  <c r="T37"/>
  <c r="S37"/>
  <c r="Q37"/>
  <c r="P37"/>
  <c r="O37"/>
  <c r="N37"/>
  <c r="K37"/>
  <c r="AZ36"/>
  <c r="BK36" s="1"/>
  <c r="AM36"/>
  <c r="AX36" s="1"/>
  <c r="AK36"/>
  <c r="X36"/>
  <c r="D36"/>
  <c r="K36" s="1"/>
  <c r="C36" s="1"/>
  <c r="AZ35"/>
  <c r="AY35"/>
  <c r="BK35" s="1"/>
  <c r="AM35"/>
  <c r="AL35"/>
  <c r="AX35" s="1"/>
  <c r="Z35"/>
  <c r="Y35"/>
  <c r="AK35" s="1"/>
  <c r="S35"/>
  <c r="R35"/>
  <c r="M35"/>
  <c r="L35"/>
  <c r="X35" s="1"/>
  <c r="D35"/>
  <c r="K35" s="1"/>
  <c r="C35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BK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AK31" s="1"/>
  <c r="W30"/>
  <c r="W31" s="1"/>
  <c r="V30"/>
  <c r="V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X31" s="1"/>
  <c r="D30"/>
  <c r="D31" s="1"/>
  <c r="M29"/>
  <c r="N29" s="1"/>
  <c r="O29" s="1"/>
  <c r="P29" s="1"/>
  <c r="Q29" s="1"/>
  <c r="R29" s="1"/>
  <c r="S29" s="1"/>
  <c r="T29" s="1"/>
  <c r="U29" s="1"/>
  <c r="V29" s="1"/>
  <c r="W29" s="1"/>
  <c r="Y29" s="1"/>
  <c r="L29"/>
  <c r="X29" s="1"/>
  <c r="J29"/>
  <c r="I29"/>
  <c r="H29"/>
  <c r="G29"/>
  <c r="F29"/>
  <c r="E29"/>
  <c r="D29"/>
  <c r="K29" s="1"/>
  <c r="L28"/>
  <c r="J28"/>
  <c r="I28"/>
  <c r="H28"/>
  <c r="G28"/>
  <c r="F28"/>
  <c r="E28"/>
  <c r="D28"/>
  <c r="BJ26"/>
  <c r="BI26"/>
  <c r="BH26"/>
  <c r="BG26"/>
  <c r="BF26"/>
  <c r="BE26"/>
  <c r="BD26"/>
  <c r="BC26"/>
  <c r="BB26"/>
  <c r="BA26"/>
  <c r="AZ26"/>
  <c r="AY26"/>
  <c r="BK26" s="1"/>
  <c r="AW26"/>
  <c r="AV26"/>
  <c r="AU26"/>
  <c r="AT26"/>
  <c r="AS26"/>
  <c r="AR26"/>
  <c r="AQ26"/>
  <c r="AP26"/>
  <c r="AO26"/>
  <c r="AN26"/>
  <c r="AM26"/>
  <c r="AL26"/>
  <c r="AX26" s="1"/>
  <c r="AJ26"/>
  <c r="AI26"/>
  <c r="AH26"/>
  <c r="AG26"/>
  <c r="AF26"/>
  <c r="AE26"/>
  <c r="AD26"/>
  <c r="AC26"/>
  <c r="AB26"/>
  <c r="AA26"/>
  <c r="Z26"/>
  <c r="Y26"/>
  <c r="AK26" s="1"/>
  <c r="W26"/>
  <c r="V26"/>
  <c r="U26"/>
  <c r="T26"/>
  <c r="S26"/>
  <c r="R26"/>
  <c r="Q26"/>
  <c r="P26"/>
  <c r="O26"/>
  <c r="N26"/>
  <c r="M26"/>
  <c r="L26"/>
  <c r="X26" s="1"/>
  <c r="J26"/>
  <c r="I26"/>
  <c r="H26"/>
  <c r="G26"/>
  <c r="F26"/>
  <c r="E26"/>
  <c r="K26" s="1"/>
  <c r="C26" s="1"/>
  <c r="BJ25"/>
  <c r="BI25"/>
  <c r="BH25"/>
  <c r="BG25"/>
  <c r="BF25"/>
  <c r="BE25"/>
  <c r="BD25"/>
  <c r="BC25"/>
  <c r="BB25"/>
  <c r="BA25"/>
  <c r="AZ25"/>
  <c r="AY25"/>
  <c r="AW25"/>
  <c r="AV25"/>
  <c r="AU25"/>
  <c r="AT25"/>
  <c r="AS25"/>
  <c r="AR25"/>
  <c r="AQ25"/>
  <c r="AP25"/>
  <c r="AO25"/>
  <c r="AN25"/>
  <c r="AM25"/>
  <c r="AL25"/>
  <c r="AJ25"/>
  <c r="AI25"/>
  <c r="AH25"/>
  <c r="AG25"/>
  <c r="AF25"/>
  <c r="AE25"/>
  <c r="AD25"/>
  <c r="AC25"/>
  <c r="AB25"/>
  <c r="AA25"/>
  <c r="Z25"/>
  <c r="Y25"/>
  <c r="W25"/>
  <c r="V25"/>
  <c r="U25"/>
  <c r="T25"/>
  <c r="S25"/>
  <c r="R25"/>
  <c r="Q25"/>
  <c r="P25"/>
  <c r="O25"/>
  <c r="N25"/>
  <c r="M25"/>
  <c r="L25"/>
  <c r="J25"/>
  <c r="I25"/>
  <c r="H25"/>
  <c r="G25"/>
  <c r="F25"/>
  <c r="E25"/>
  <c r="AZ24"/>
  <c r="AM24"/>
  <c r="Z24"/>
  <c r="G24"/>
  <c r="M20"/>
  <c r="M23" s="1"/>
  <c r="L20"/>
  <c r="L23" s="1"/>
  <c r="J20"/>
  <c r="J23" s="1"/>
  <c r="I20"/>
  <c r="I23" s="1"/>
  <c r="H20"/>
  <c r="H23" s="1"/>
  <c r="G20"/>
  <c r="G23" s="1"/>
  <c r="F20"/>
  <c r="F23" s="1"/>
  <c r="E20"/>
  <c r="E23" s="1"/>
  <c r="K23" s="1"/>
  <c r="D20"/>
  <c r="E17"/>
  <c r="D16"/>
  <c r="M16" s="1"/>
  <c r="M19" s="1"/>
  <c r="D14"/>
  <c r="BJ13"/>
  <c r="BJ27" s="1"/>
  <c r="BI13"/>
  <c r="BI27" s="1"/>
  <c r="BH13"/>
  <c r="BH27" s="1"/>
  <c r="BG13"/>
  <c r="BG27" s="1"/>
  <c r="BF13"/>
  <c r="BF27" s="1"/>
  <c r="BE13"/>
  <c r="BE27" s="1"/>
  <c r="BD13"/>
  <c r="BD27" s="1"/>
  <c r="BC13"/>
  <c r="BC27" s="1"/>
  <c r="BB13"/>
  <c r="BB27" s="1"/>
  <c r="BA13"/>
  <c r="BA27" s="1"/>
  <c r="AZ13"/>
  <c r="AZ27" s="1"/>
  <c r="AY13"/>
  <c r="AY27" s="1"/>
  <c r="BK27" s="1"/>
  <c r="AW13"/>
  <c r="AW27" s="1"/>
  <c r="AV13"/>
  <c r="AV27" s="1"/>
  <c r="AU13"/>
  <c r="AU27" s="1"/>
  <c r="AT13"/>
  <c r="AT27" s="1"/>
  <c r="AS13"/>
  <c r="AS27" s="1"/>
  <c r="AR13"/>
  <c r="AR27" s="1"/>
  <c r="AQ13"/>
  <c r="AQ27" s="1"/>
  <c r="AP13"/>
  <c r="AP27" s="1"/>
  <c r="AO13"/>
  <c r="AO27" s="1"/>
  <c r="AN13"/>
  <c r="AN27" s="1"/>
  <c r="AM13"/>
  <c r="AM27" s="1"/>
  <c r="AL13"/>
  <c r="AL27" s="1"/>
  <c r="AX27" s="1"/>
  <c r="AJ13"/>
  <c r="AJ27" s="1"/>
  <c r="AI13"/>
  <c r="AI27" s="1"/>
  <c r="AH13"/>
  <c r="AH27" s="1"/>
  <c r="AG13"/>
  <c r="AG27" s="1"/>
  <c r="AF13"/>
  <c r="AF27" s="1"/>
  <c r="AE13"/>
  <c r="AE27" s="1"/>
  <c r="AD13"/>
  <c r="AD27" s="1"/>
  <c r="AC13"/>
  <c r="AC27" s="1"/>
  <c r="AB13"/>
  <c r="AB27" s="1"/>
  <c r="AA13"/>
  <c r="AA27" s="1"/>
  <c r="Z13"/>
  <c r="Z27" s="1"/>
  <c r="Y13"/>
  <c r="Y27" s="1"/>
  <c r="AK27" s="1"/>
  <c r="W13"/>
  <c r="W27" s="1"/>
  <c r="V13"/>
  <c r="V27" s="1"/>
  <c r="U13"/>
  <c r="U27" s="1"/>
  <c r="T13"/>
  <c r="T27" s="1"/>
  <c r="S13"/>
  <c r="S27" s="1"/>
  <c r="R13"/>
  <c r="R27" s="1"/>
  <c r="Q13"/>
  <c r="Q27" s="1"/>
  <c r="P13"/>
  <c r="P27" s="1"/>
  <c r="O13"/>
  <c r="O27" s="1"/>
  <c r="N13"/>
  <c r="N27" s="1"/>
  <c r="M13"/>
  <c r="M27" s="1"/>
  <c r="L13"/>
  <c r="L27" s="1"/>
  <c r="X27" s="1"/>
  <c r="J13"/>
  <c r="J27" s="1"/>
  <c r="I13"/>
  <c r="I27" s="1"/>
  <c r="H13"/>
  <c r="H27" s="1"/>
  <c r="G13"/>
  <c r="G27" s="1"/>
  <c r="F13"/>
  <c r="F27" s="1"/>
  <c r="E13"/>
  <c r="E27" s="1"/>
  <c r="K27" s="1"/>
  <c r="C27" s="1"/>
  <c r="BK11"/>
  <c r="AX11"/>
  <c r="AK11"/>
  <c r="X11"/>
  <c r="K11"/>
  <c r="BK10"/>
  <c r="AX10"/>
  <c r="AK10"/>
  <c r="X10"/>
  <c r="K10"/>
  <c r="C10"/>
  <c r="BK9"/>
  <c r="AX9"/>
  <c r="AK9"/>
  <c r="X9"/>
  <c r="K9"/>
  <c r="C9"/>
  <c r="BK8"/>
  <c r="AX8"/>
  <c r="AK8"/>
  <c r="X8"/>
  <c r="K8"/>
  <c r="C8"/>
  <c r="BK7"/>
  <c r="AX7"/>
  <c r="AK7"/>
  <c r="X7"/>
  <c r="K7"/>
  <c r="C7"/>
  <c r="BK6"/>
  <c r="AX6"/>
  <c r="AK6"/>
  <c r="X6"/>
  <c r="K6"/>
  <c r="C6"/>
  <c r="AY2"/>
  <c r="AZ2" s="1"/>
  <c r="BA2" s="1"/>
  <c r="BB2" s="1"/>
  <c r="BC2" s="1"/>
  <c r="BD2" s="1"/>
  <c r="BE2" s="1"/>
  <c r="BF2" s="1"/>
  <c r="BG2" s="1"/>
  <c r="BH2" s="1"/>
  <c r="BI2" s="1"/>
  <c r="BJ2" s="1"/>
  <c r="E2"/>
  <c r="F2" s="1"/>
  <c r="G2" s="1"/>
  <c r="H2" s="1"/>
  <c r="I2" s="1"/>
  <c r="J2" s="1"/>
  <c r="L2" s="1"/>
  <c r="M2" s="1"/>
  <c r="N2" s="1"/>
  <c r="O2" s="1"/>
  <c r="P2" s="1"/>
  <c r="Q2" s="1"/>
  <c r="R2" s="1"/>
  <c r="S2" s="1"/>
  <c r="T2" s="1"/>
  <c r="U2" s="1"/>
  <c r="V2" s="1"/>
  <c r="W2" s="1"/>
  <c r="Y2" s="1"/>
  <c r="Z2" s="1"/>
  <c r="AA2" s="1"/>
  <c r="AB2" s="1"/>
  <c r="AC2" s="1"/>
  <c r="AD2" s="1"/>
  <c r="AE2" s="1"/>
  <c r="AF2" s="1"/>
  <c r="AG2" s="1"/>
  <c r="AH2" s="1"/>
  <c r="AI2" s="1"/>
  <c r="AJ2" s="1"/>
  <c r="AL2" s="1"/>
  <c r="AM2" s="1"/>
  <c r="AN2" s="1"/>
  <c r="AO2" s="1"/>
  <c r="AP2" s="1"/>
  <c r="L28" i="4"/>
  <c r="G81" i="7"/>
  <c r="G80"/>
  <c r="G79"/>
  <c r="G78"/>
  <c r="G77"/>
  <c r="G76"/>
  <c r="G75"/>
  <c r="G82" s="1"/>
  <c r="J28" i="4"/>
  <c r="I28"/>
  <c r="H28"/>
  <c r="G28"/>
  <c r="F28"/>
  <c r="E28"/>
  <c r="D28"/>
  <c r="G54" i="7"/>
  <c r="G53"/>
  <c r="G52"/>
  <c r="G51"/>
  <c r="G50"/>
  <c r="G49"/>
  <c r="G48"/>
  <c r="G55"/>
  <c r="G17"/>
  <c r="G18"/>
  <c r="G16"/>
  <c r="G15"/>
  <c r="G14"/>
  <c r="G13"/>
  <c r="G12"/>
  <c r="G11"/>
  <c r="G10"/>
  <c r="G9"/>
  <c r="G8"/>
  <c r="G7"/>
  <c r="G6"/>
  <c r="G5"/>
  <c r="G4"/>
  <c r="G24"/>
  <c r="G25"/>
  <c r="G26"/>
  <c r="G27"/>
  <c r="G28"/>
  <c r="G29"/>
  <c r="G30"/>
  <c r="G31"/>
  <c r="G32"/>
  <c r="G33"/>
  <c r="G34"/>
  <c r="G35"/>
  <c r="G36"/>
  <c r="C10" i="3"/>
  <c r="E37" i="5"/>
  <c r="AZ36" i="4"/>
  <c r="BK36"/>
  <c r="BJ26"/>
  <c r="BI26"/>
  <c r="BH26"/>
  <c r="BG26"/>
  <c r="BF26"/>
  <c r="BE26"/>
  <c r="BD26"/>
  <c r="BC26"/>
  <c r="BB26"/>
  <c r="BA26"/>
  <c r="AZ26"/>
  <c r="AY26"/>
  <c r="BK26" s="1"/>
  <c r="BJ25"/>
  <c r="BI25"/>
  <c r="BH25"/>
  <c r="BG25"/>
  <c r="BF25"/>
  <c r="BE25"/>
  <c r="BD25"/>
  <c r="BC25"/>
  <c r="BB25"/>
  <c r="BA25"/>
  <c r="AZ25"/>
  <c r="AY25"/>
  <c r="AZ24"/>
  <c r="BJ13"/>
  <c r="BJ27" s="1"/>
  <c r="BI13"/>
  <c r="BI27" s="1"/>
  <c r="BH13"/>
  <c r="BH27" s="1"/>
  <c r="BG13"/>
  <c r="BG27" s="1"/>
  <c r="BF13"/>
  <c r="BF27" s="1"/>
  <c r="BE13"/>
  <c r="BE27" s="1"/>
  <c r="BD13"/>
  <c r="BD27" s="1"/>
  <c r="BC13"/>
  <c r="BC27" s="1"/>
  <c r="BB13"/>
  <c r="BB27" s="1"/>
  <c r="BA13"/>
  <c r="BA27" s="1"/>
  <c r="AZ13"/>
  <c r="AZ27" s="1"/>
  <c r="AY13"/>
  <c r="AY27" s="1"/>
  <c r="BK27" s="1"/>
  <c r="BK11"/>
  <c r="BK10"/>
  <c r="BK9"/>
  <c r="BK8"/>
  <c r="BK7"/>
  <c r="C7" s="1"/>
  <c r="BK6"/>
  <c r="AY2"/>
  <c r="AZ2" s="1"/>
  <c r="BA2" s="1"/>
  <c r="BB2" s="1"/>
  <c r="BC2" s="1"/>
  <c r="BD2" s="1"/>
  <c r="BE2" s="1"/>
  <c r="BF2" s="1"/>
  <c r="BG2" s="1"/>
  <c r="BH2" s="1"/>
  <c r="BI2" s="1"/>
  <c r="BJ2" s="1"/>
  <c r="E47" i="5"/>
  <c r="E39"/>
  <c r="E38"/>
  <c r="E34"/>
  <c r="C41"/>
  <c r="E40"/>
  <c r="E36"/>
  <c r="E35"/>
  <c r="E33"/>
  <c r="E32"/>
  <c r="G24" i="4"/>
  <c r="H24" s="1"/>
  <c r="I24" s="1"/>
  <c r="J24" s="1"/>
  <c r="C24" i="5"/>
  <c r="E23"/>
  <c r="E22"/>
  <c r="E21"/>
  <c r="E20"/>
  <c r="E19"/>
  <c r="E18"/>
  <c r="E17"/>
  <c r="E16"/>
  <c r="E15"/>
  <c r="E45"/>
  <c r="E46"/>
  <c r="Z29" i="11" l="1"/>
  <c r="AA29" s="1"/>
  <c r="AB29" s="1"/>
  <c r="AC29" s="1"/>
  <c r="AD29" s="1"/>
  <c r="AE29" s="1"/>
  <c r="AF29" s="1"/>
  <c r="AG29" s="1"/>
  <c r="AH29" s="1"/>
  <c r="AI29" s="1"/>
  <c r="AJ29" s="1"/>
  <c r="AL29" s="1"/>
  <c r="D32"/>
  <c r="AL31"/>
  <c r="AX31" s="1"/>
  <c r="AX30"/>
  <c r="AM37"/>
  <c r="AN37" s="1"/>
  <c r="AO37" s="1"/>
  <c r="AP37" s="1"/>
  <c r="K13"/>
  <c r="X13"/>
  <c r="AK13"/>
  <c r="AX13"/>
  <c r="BK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Y14"/>
  <c r="Z14"/>
  <c r="AA14"/>
  <c r="AB14"/>
  <c r="AC14"/>
  <c r="AD14"/>
  <c r="AE14"/>
  <c r="AF14"/>
  <c r="AG14"/>
  <c r="AH14"/>
  <c r="AI14"/>
  <c r="AJ14"/>
  <c r="AL14"/>
  <c r="AM14"/>
  <c r="AN14"/>
  <c r="AO14"/>
  <c r="AP14"/>
  <c r="AQ14"/>
  <c r="AR14"/>
  <c r="AS14"/>
  <c r="AT14"/>
  <c r="AU14"/>
  <c r="AV14"/>
  <c r="AW14"/>
  <c r="AY14"/>
  <c r="AZ14"/>
  <c r="BA14"/>
  <c r="BB14"/>
  <c r="BC14"/>
  <c r="BD14"/>
  <c r="BE14"/>
  <c r="BF14"/>
  <c r="BG14"/>
  <c r="BH14"/>
  <c r="BI14"/>
  <c r="BJ14"/>
  <c r="E16"/>
  <c r="F16"/>
  <c r="F19" s="1"/>
  <c r="G16"/>
  <c r="G19" s="1"/>
  <c r="H16"/>
  <c r="H19" s="1"/>
  <c r="I16"/>
  <c r="I19" s="1"/>
  <c r="J16"/>
  <c r="L16"/>
  <c r="L19" s="1"/>
  <c r="E19"/>
  <c r="N20"/>
  <c r="N23" s="1"/>
  <c r="O20"/>
  <c r="O23" s="1"/>
  <c r="P20"/>
  <c r="P23" s="1"/>
  <c r="Q20"/>
  <c r="Q23" s="1"/>
  <c r="R20"/>
  <c r="R23" s="1"/>
  <c r="S20"/>
  <c r="E21"/>
  <c r="E22" s="1"/>
  <c r="F21" s="1"/>
  <c r="F22" s="1"/>
  <c r="G21" s="1"/>
  <c r="G22" s="1"/>
  <c r="H21" s="1"/>
  <c r="H22" s="1"/>
  <c r="I21" s="1"/>
  <c r="I22" s="1"/>
  <c r="J21" s="1"/>
  <c r="J22" s="1"/>
  <c r="L21" s="1"/>
  <c r="L22" s="1"/>
  <c r="M21" s="1"/>
  <c r="M22" s="1"/>
  <c r="N21" s="1"/>
  <c r="N22" s="1"/>
  <c r="O21" s="1"/>
  <c r="O22" s="1"/>
  <c r="P21" s="1"/>
  <c r="P22" s="1"/>
  <c r="Q21" s="1"/>
  <c r="Q22" s="1"/>
  <c r="R21" s="1"/>
  <c r="R22" s="1"/>
  <c r="S21" s="1"/>
  <c r="H24"/>
  <c r="I24" s="1"/>
  <c r="J24" s="1"/>
  <c r="L24" s="1"/>
  <c r="AA24"/>
  <c r="AB24" s="1"/>
  <c r="AC24" s="1"/>
  <c r="AD24" s="1"/>
  <c r="AE24" s="1"/>
  <c r="AF24" s="1"/>
  <c r="AG24" s="1"/>
  <c r="AH24" s="1"/>
  <c r="AI24" s="1"/>
  <c r="AJ24" s="1"/>
  <c r="AN24"/>
  <c r="AO24" s="1"/>
  <c r="AP24" s="1"/>
  <c r="BA24"/>
  <c r="BB24" s="1"/>
  <c r="BC24" s="1"/>
  <c r="K25"/>
  <c r="L32"/>
  <c r="X25"/>
  <c r="AK25"/>
  <c r="AX25"/>
  <c r="BK25"/>
  <c r="K28"/>
  <c r="M28"/>
  <c r="N28" s="1"/>
  <c r="O28" s="1"/>
  <c r="P28" s="1"/>
  <c r="Q28" s="1"/>
  <c r="R28" s="1"/>
  <c r="S28" s="1"/>
  <c r="T28" s="1"/>
  <c r="U28" s="1"/>
  <c r="V28" s="1"/>
  <c r="W28" s="1"/>
  <c r="Y28" s="1"/>
  <c r="E30"/>
  <c r="X30"/>
  <c r="AK30"/>
  <c r="BK30"/>
  <c r="G19" i="7"/>
  <c r="BK13" i="4"/>
  <c r="AY14"/>
  <c r="AZ14"/>
  <c r="BA14"/>
  <c r="BB14"/>
  <c r="BC14"/>
  <c r="BD14"/>
  <c r="BE14"/>
  <c r="BF14"/>
  <c r="BG14"/>
  <c r="BH14"/>
  <c r="BI14"/>
  <c r="BJ14"/>
  <c r="BA24"/>
  <c r="BB24" s="1"/>
  <c r="BC24" s="1"/>
  <c r="BK25"/>
  <c r="E41" i="5"/>
  <c r="E24"/>
  <c r="AV26" i="4"/>
  <c r="AU26"/>
  <c r="AT26"/>
  <c r="AS26"/>
  <c r="AR26"/>
  <c r="AQ26"/>
  <c r="AV25"/>
  <c r="AU25"/>
  <c r="AT25"/>
  <c r="AS25"/>
  <c r="AR25"/>
  <c r="AQ25"/>
  <c r="AV13"/>
  <c r="AV27" s="1"/>
  <c r="AU13"/>
  <c r="AU27" s="1"/>
  <c r="AT13"/>
  <c r="AT27" s="1"/>
  <c r="AS13"/>
  <c r="AS27" s="1"/>
  <c r="AR13"/>
  <c r="AR27" s="1"/>
  <c r="AQ13"/>
  <c r="AQ27" s="1"/>
  <c r="C13" i="11" l="1"/>
  <c r="E31"/>
  <c r="F30"/>
  <c r="Z28"/>
  <c r="BJ24"/>
  <c r="BD24"/>
  <c r="BE24" s="1"/>
  <c r="BF24" s="1"/>
  <c r="BG24" s="1"/>
  <c r="BH24" s="1"/>
  <c r="BI24" s="1"/>
  <c r="AW24"/>
  <c r="AQ24"/>
  <c r="AR24" s="1"/>
  <c r="AS24" s="1"/>
  <c r="AT24" s="1"/>
  <c r="AU24" s="1"/>
  <c r="AV24" s="1"/>
  <c r="N24"/>
  <c r="P24" s="1"/>
  <c r="R24" s="1"/>
  <c r="T24" s="1"/>
  <c r="V24" s="1"/>
  <c r="M24"/>
  <c r="O24" s="1"/>
  <c r="Q24" s="1"/>
  <c r="S24" s="1"/>
  <c r="U24" s="1"/>
  <c r="W24" s="1"/>
  <c r="S23"/>
  <c r="Z20"/>
  <c r="Y20"/>
  <c r="Y23" s="1"/>
  <c r="W20"/>
  <c r="W23" s="1"/>
  <c r="V20"/>
  <c r="V23" s="1"/>
  <c r="U20"/>
  <c r="U23" s="1"/>
  <c r="T20"/>
  <c r="T23" s="1"/>
  <c r="J19"/>
  <c r="S16"/>
  <c r="R16"/>
  <c r="R19" s="1"/>
  <c r="Q16"/>
  <c r="Q19" s="1"/>
  <c r="P16"/>
  <c r="P19" s="1"/>
  <c r="O16"/>
  <c r="O19" s="1"/>
  <c r="N16"/>
  <c r="N19" s="1"/>
  <c r="BK14"/>
  <c r="AX14"/>
  <c r="AK14"/>
  <c r="X14"/>
  <c r="AW37"/>
  <c r="AQ37"/>
  <c r="AR37" s="1"/>
  <c r="AS37" s="1"/>
  <c r="AT37" s="1"/>
  <c r="AU37" s="1"/>
  <c r="AV37" s="1"/>
  <c r="AM29"/>
  <c r="AN29" s="1"/>
  <c r="AO29" s="1"/>
  <c r="AP29" s="1"/>
  <c r="Y32"/>
  <c r="W32"/>
  <c r="V32"/>
  <c r="U32"/>
  <c r="T32"/>
  <c r="S32"/>
  <c r="R32"/>
  <c r="Q32"/>
  <c r="P32"/>
  <c r="O32"/>
  <c r="N32"/>
  <c r="M32"/>
  <c r="X32"/>
  <c r="C25"/>
  <c r="E32"/>
  <c r="S22"/>
  <c r="T21" s="1"/>
  <c r="T22" s="1"/>
  <c r="U21" s="1"/>
  <c r="U22" s="1"/>
  <c r="V21" s="1"/>
  <c r="V22" s="1"/>
  <c r="W21" s="1"/>
  <c r="W22" s="1"/>
  <c r="Y21" s="1"/>
  <c r="Y22" s="1"/>
  <c r="Z21" s="1"/>
  <c r="E18"/>
  <c r="F17" s="1"/>
  <c r="E34"/>
  <c r="C14"/>
  <c r="D38"/>
  <c r="X28"/>
  <c r="BK24"/>
  <c r="AX24"/>
  <c r="AK24"/>
  <c r="K24"/>
  <c r="AK29"/>
  <c r="BJ24" i="4"/>
  <c r="BD24"/>
  <c r="BE24" s="1"/>
  <c r="BK14"/>
  <c r="AQ14"/>
  <c r="AR14"/>
  <c r="AS14"/>
  <c r="AT14"/>
  <c r="AU14"/>
  <c r="AV14"/>
  <c r="E38" i="11" l="1"/>
  <c r="E39" s="1"/>
  <c r="X23"/>
  <c r="E46"/>
  <c r="E40"/>
  <c r="E41" s="1"/>
  <c r="E42" s="1"/>
  <c r="E44" s="1"/>
  <c r="D39"/>
  <c r="F34"/>
  <c r="F18"/>
  <c r="G17" s="1"/>
  <c r="AW29"/>
  <c r="AY29" s="1"/>
  <c r="AQ29"/>
  <c r="AR29" s="1"/>
  <c r="AS29" s="1"/>
  <c r="AT29" s="1"/>
  <c r="AU29" s="1"/>
  <c r="AV29" s="1"/>
  <c r="AZ37"/>
  <c r="BA37" s="1"/>
  <c r="BB37" s="1"/>
  <c r="BC37" s="1"/>
  <c r="S19"/>
  <c r="Z16"/>
  <c r="Y16"/>
  <c r="Y19" s="1"/>
  <c r="W16"/>
  <c r="W19" s="1"/>
  <c r="V16"/>
  <c r="V19" s="1"/>
  <c r="U16"/>
  <c r="U19" s="1"/>
  <c r="T16"/>
  <c r="T19" s="1"/>
  <c r="Z23"/>
  <c r="AM20"/>
  <c r="AL20"/>
  <c r="AL23" s="1"/>
  <c r="AJ20"/>
  <c r="AJ23" s="1"/>
  <c r="AI20"/>
  <c r="AI23" s="1"/>
  <c r="AH20"/>
  <c r="AH23" s="1"/>
  <c r="AG20"/>
  <c r="AG23" s="1"/>
  <c r="AF20"/>
  <c r="AF23" s="1"/>
  <c r="AE20"/>
  <c r="AE23" s="1"/>
  <c r="AD20"/>
  <c r="AD23" s="1"/>
  <c r="AC20"/>
  <c r="AC23" s="1"/>
  <c r="AB20"/>
  <c r="AB23" s="1"/>
  <c r="AA20"/>
  <c r="AA23" s="1"/>
  <c r="AA28"/>
  <c r="Z32"/>
  <c r="F31"/>
  <c r="G30"/>
  <c r="F32"/>
  <c r="Z22"/>
  <c r="AA21" s="1"/>
  <c r="AA22" s="1"/>
  <c r="AB21" s="1"/>
  <c r="AB22" s="1"/>
  <c r="AC21" s="1"/>
  <c r="AC22" s="1"/>
  <c r="AD21" s="1"/>
  <c r="AD22" s="1"/>
  <c r="AE21" s="1"/>
  <c r="AE22" s="1"/>
  <c r="AF21" s="1"/>
  <c r="AF22" s="1"/>
  <c r="AG21" s="1"/>
  <c r="AG22" s="1"/>
  <c r="AH21" s="1"/>
  <c r="AH22" s="1"/>
  <c r="AI21" s="1"/>
  <c r="AI22" s="1"/>
  <c r="AJ21" s="1"/>
  <c r="AJ22" s="1"/>
  <c r="AL21" s="1"/>
  <c r="AL22" s="1"/>
  <c r="AM21" s="1"/>
  <c r="AX29"/>
  <c r="C29" s="1"/>
  <c r="X19"/>
  <c r="K19"/>
  <c r="AK23"/>
  <c r="X24"/>
  <c r="C24" s="1"/>
  <c r="BF24" i="4"/>
  <c r="AM24"/>
  <c r="AN24" s="1"/>
  <c r="AO24" s="1"/>
  <c r="AP24" s="1"/>
  <c r="Z24"/>
  <c r="L24"/>
  <c r="M24" s="1"/>
  <c r="O24" s="1"/>
  <c r="Q24" s="1"/>
  <c r="S24" s="1"/>
  <c r="U24" s="1"/>
  <c r="W24" s="1"/>
  <c r="K24"/>
  <c r="G38" i="7"/>
  <c r="G37"/>
  <c r="C4" i="9"/>
  <c r="C21"/>
  <c r="D21"/>
  <c r="E21"/>
  <c r="F21"/>
  <c r="G21"/>
  <c r="H21"/>
  <c r="I21"/>
  <c r="J21"/>
  <c r="K21"/>
  <c r="L21"/>
  <c r="M21"/>
  <c r="N21"/>
  <c r="H36" i="8"/>
  <c r="E40"/>
  <c r="F44"/>
  <c r="J44" s="1"/>
  <c r="L44" s="1"/>
  <c r="I44"/>
  <c r="G50"/>
  <c r="I50"/>
  <c r="H53" s="1"/>
  <c r="H11"/>
  <c r="E15"/>
  <c r="F19"/>
  <c r="J19" s="1"/>
  <c r="L19" s="1"/>
  <c r="I19"/>
  <c r="G25"/>
  <c r="I25"/>
  <c r="H28" s="1"/>
  <c r="G87" i="7"/>
  <c r="G88"/>
  <c r="G89"/>
  <c r="G90"/>
  <c r="G91"/>
  <c r="G92"/>
  <c r="G93"/>
  <c r="G60"/>
  <c r="G61"/>
  <c r="G62"/>
  <c r="G63"/>
  <c r="G64"/>
  <c r="G65"/>
  <c r="G66"/>
  <c r="G67"/>
  <c r="G39"/>
  <c r="E5" i="6"/>
  <c r="F5" s="1"/>
  <c r="E6"/>
  <c r="F6" s="1"/>
  <c r="E7"/>
  <c r="E8"/>
  <c r="F8" s="1"/>
  <c r="E9"/>
  <c r="F9" s="1"/>
  <c r="E10"/>
  <c r="E11"/>
  <c r="F11" s="1"/>
  <c r="E12"/>
  <c r="F12" s="1"/>
  <c r="E13"/>
  <c r="F13"/>
  <c r="F10"/>
  <c r="E74" i="5"/>
  <c r="E75"/>
  <c r="E65"/>
  <c r="E66"/>
  <c r="E67"/>
  <c r="C68"/>
  <c r="E48"/>
  <c r="E49"/>
  <c r="E50"/>
  <c r="E51"/>
  <c r="E52"/>
  <c r="E53"/>
  <c r="E54"/>
  <c r="E55"/>
  <c r="E56"/>
  <c r="E57"/>
  <c r="E58"/>
  <c r="C59"/>
  <c r="C61" s="1"/>
  <c r="E5"/>
  <c r="E6"/>
  <c r="E7"/>
  <c r="E8"/>
  <c r="E10"/>
  <c r="C11"/>
  <c r="C26" s="1"/>
  <c r="D14" i="4"/>
  <c r="D36"/>
  <c r="K36" s="1"/>
  <c r="E13"/>
  <c r="E14" s="1"/>
  <c r="E20"/>
  <c r="E25"/>
  <c r="E26"/>
  <c r="E2"/>
  <c r="F2" s="1"/>
  <c r="G2" s="1"/>
  <c r="H2" s="1"/>
  <c r="I2" s="1"/>
  <c r="J2" s="1"/>
  <c r="L2" s="1"/>
  <c r="M2" s="1"/>
  <c r="N2" s="1"/>
  <c r="O2" s="1"/>
  <c r="P2" s="1"/>
  <c r="Q2" s="1"/>
  <c r="R2" s="1"/>
  <c r="S2" s="1"/>
  <c r="T2" s="1"/>
  <c r="U2" s="1"/>
  <c r="V2" s="1"/>
  <c r="W2" s="1"/>
  <c r="Y2" s="1"/>
  <c r="Z2" s="1"/>
  <c r="AA2" s="1"/>
  <c r="AB2" s="1"/>
  <c r="AC2" s="1"/>
  <c r="AD2" s="1"/>
  <c r="AE2" s="1"/>
  <c r="AF2" s="1"/>
  <c r="AG2" s="1"/>
  <c r="AH2" s="1"/>
  <c r="AI2" s="1"/>
  <c r="AJ2" s="1"/>
  <c r="AL2" s="1"/>
  <c r="AM2" s="1"/>
  <c r="AN2" s="1"/>
  <c r="AO2" s="1"/>
  <c r="AP2" s="1"/>
  <c r="F13"/>
  <c r="F20"/>
  <c r="F23" s="1"/>
  <c r="F25"/>
  <c r="F26"/>
  <c r="G13"/>
  <c r="G14" s="1"/>
  <c r="G20"/>
  <c r="G23" s="1"/>
  <c r="G25"/>
  <c r="G26"/>
  <c r="G27"/>
  <c r="H13"/>
  <c r="H20"/>
  <c r="H23" s="1"/>
  <c r="H25"/>
  <c r="H26"/>
  <c r="I13"/>
  <c r="I14" s="1"/>
  <c r="I20"/>
  <c r="I23" s="1"/>
  <c r="I25"/>
  <c r="I26"/>
  <c r="J13"/>
  <c r="J14" s="1"/>
  <c r="J20"/>
  <c r="J23" s="1"/>
  <c r="J25"/>
  <c r="J26"/>
  <c r="J27"/>
  <c r="L13"/>
  <c r="L20"/>
  <c r="L23" s="1"/>
  <c r="L25"/>
  <c r="L26"/>
  <c r="M13"/>
  <c r="M27" s="1"/>
  <c r="M20"/>
  <c r="M23" s="1"/>
  <c r="M25"/>
  <c r="M26"/>
  <c r="N13"/>
  <c r="N14" s="1"/>
  <c r="N20"/>
  <c r="N23" s="1"/>
  <c r="N25"/>
  <c r="N26"/>
  <c r="N27"/>
  <c r="N37"/>
  <c r="O13"/>
  <c r="O14" s="1"/>
  <c r="O25"/>
  <c r="O26"/>
  <c r="O37"/>
  <c r="P13"/>
  <c r="P14" s="1"/>
  <c r="P25"/>
  <c r="P26"/>
  <c r="P37"/>
  <c r="Q13"/>
  <c r="Q14" s="1"/>
  <c r="Q25"/>
  <c r="Q26"/>
  <c r="Q27"/>
  <c r="Q37"/>
  <c r="R13"/>
  <c r="R14" s="1"/>
  <c r="R25"/>
  <c r="R26"/>
  <c r="S13"/>
  <c r="S14" s="1"/>
  <c r="S25"/>
  <c r="S26"/>
  <c r="S37"/>
  <c r="T13"/>
  <c r="T14" s="1"/>
  <c r="T25"/>
  <c r="T26"/>
  <c r="T37"/>
  <c r="U13"/>
  <c r="U14" s="1"/>
  <c r="U25"/>
  <c r="U26"/>
  <c r="U37"/>
  <c r="V13"/>
  <c r="V27" s="1"/>
  <c r="V25"/>
  <c r="V26"/>
  <c r="V37"/>
  <c r="W13"/>
  <c r="W14" s="1"/>
  <c r="W25"/>
  <c r="W26"/>
  <c r="W37"/>
  <c r="Y13"/>
  <c r="Y14" s="1"/>
  <c r="Y25"/>
  <c r="Y26"/>
  <c r="Z13"/>
  <c r="Z14" s="1"/>
  <c r="Z25"/>
  <c r="Z26"/>
  <c r="AA13"/>
  <c r="AA14" s="1"/>
  <c r="AA25"/>
  <c r="AA26"/>
  <c r="AB13"/>
  <c r="AB14" s="1"/>
  <c r="AB25"/>
  <c r="AB26"/>
  <c r="AC13"/>
  <c r="AC25"/>
  <c r="AC26"/>
  <c r="AD13"/>
  <c r="AD25"/>
  <c r="AD26"/>
  <c r="AE13"/>
  <c r="AE14" s="1"/>
  <c r="AE25"/>
  <c r="AE26"/>
  <c r="AF13"/>
  <c r="AF14" s="1"/>
  <c r="AF25"/>
  <c r="AF26"/>
  <c r="AG13"/>
  <c r="AG14" s="1"/>
  <c r="AG25"/>
  <c r="AG26"/>
  <c r="AH13"/>
  <c r="AH14" s="1"/>
  <c r="AH25"/>
  <c r="AH26"/>
  <c r="AI13"/>
  <c r="AI14" s="1"/>
  <c r="AI25"/>
  <c r="AI26"/>
  <c r="AJ13"/>
  <c r="AJ14" s="1"/>
  <c r="AJ25"/>
  <c r="AJ26"/>
  <c r="AL13"/>
  <c r="AL14" s="1"/>
  <c r="AL25"/>
  <c r="AL26"/>
  <c r="AM13"/>
  <c r="AM14" s="1"/>
  <c r="AM25"/>
  <c r="AM26"/>
  <c r="AM36"/>
  <c r="AX36" s="1"/>
  <c r="AN13"/>
  <c r="AN14" s="1"/>
  <c r="AN25"/>
  <c r="AN26"/>
  <c r="AO13"/>
  <c r="AO27" s="1"/>
  <c r="AO25"/>
  <c r="AO26"/>
  <c r="AP13"/>
  <c r="AP14" s="1"/>
  <c r="AP25"/>
  <c r="AP26"/>
  <c r="AW13"/>
  <c r="AW14" s="1"/>
  <c r="AW25"/>
  <c r="AW26"/>
  <c r="C44"/>
  <c r="K37"/>
  <c r="AK36"/>
  <c r="X36"/>
  <c r="D20"/>
  <c r="AX11"/>
  <c r="AK11"/>
  <c r="X11"/>
  <c r="K11"/>
  <c r="AX10"/>
  <c r="AK10"/>
  <c r="X10"/>
  <c r="K10"/>
  <c r="C10" s="1"/>
  <c r="AX9"/>
  <c r="AK9"/>
  <c r="X9"/>
  <c r="K9"/>
  <c r="C9" s="1"/>
  <c r="AX8"/>
  <c r="AK8"/>
  <c r="X8"/>
  <c r="K8"/>
  <c r="C8" s="1"/>
  <c r="AX7"/>
  <c r="AK7"/>
  <c r="X7"/>
  <c r="K7"/>
  <c r="AX6"/>
  <c r="AK6"/>
  <c r="X6"/>
  <c r="K6"/>
  <c r="C6" s="1"/>
  <c r="C6" i="9" l="1"/>
  <c r="R37" i="11"/>
  <c r="L37"/>
  <c r="X37" s="1"/>
  <c r="AL37"/>
  <c r="AX37" s="1"/>
  <c r="Y37"/>
  <c r="AK37" s="1"/>
  <c r="Y37" i="4"/>
  <c r="AY37" i="11"/>
  <c r="G31"/>
  <c r="H30"/>
  <c r="G32"/>
  <c r="AB28"/>
  <c r="AA32"/>
  <c r="AM23"/>
  <c r="AZ20"/>
  <c r="AY20"/>
  <c r="AY23" s="1"/>
  <c r="AW20"/>
  <c r="AW23" s="1"/>
  <c r="AV20"/>
  <c r="AV23" s="1"/>
  <c r="AU20"/>
  <c r="AU23" s="1"/>
  <c r="AT20"/>
  <c r="AT23" s="1"/>
  <c r="AS20"/>
  <c r="AS23" s="1"/>
  <c r="AR20"/>
  <c r="AR23" s="1"/>
  <c r="AQ20"/>
  <c r="AQ23" s="1"/>
  <c r="AP20"/>
  <c r="AP23" s="1"/>
  <c r="AO20"/>
  <c r="AO23" s="1"/>
  <c r="AN20"/>
  <c r="AN23" s="1"/>
  <c r="Z19"/>
  <c r="AM16"/>
  <c r="AL16"/>
  <c r="AL19" s="1"/>
  <c r="AJ16"/>
  <c r="AJ19" s="1"/>
  <c r="AI16"/>
  <c r="AI19" s="1"/>
  <c r="AH16"/>
  <c r="AH19" s="1"/>
  <c r="AG16"/>
  <c r="AG19" s="1"/>
  <c r="AF16"/>
  <c r="AF19" s="1"/>
  <c r="AE16"/>
  <c r="AE19" s="1"/>
  <c r="AD16"/>
  <c r="AD19" s="1"/>
  <c r="AC16"/>
  <c r="AC19" s="1"/>
  <c r="AB16"/>
  <c r="AB19" s="1"/>
  <c r="AA16"/>
  <c r="AA19" s="1"/>
  <c r="BJ37"/>
  <c r="BD37"/>
  <c r="BE37" s="1"/>
  <c r="BF37" s="1"/>
  <c r="BG37" s="1"/>
  <c r="BH37" s="1"/>
  <c r="BI37" s="1"/>
  <c r="AZ29"/>
  <c r="BA29" s="1"/>
  <c r="BB29" s="1"/>
  <c r="BC29" s="1"/>
  <c r="G34"/>
  <c r="G18"/>
  <c r="H17" s="1"/>
  <c r="D46"/>
  <c r="D40"/>
  <c r="AM22"/>
  <c r="AN21" s="1"/>
  <c r="AN22" s="1"/>
  <c r="AO21" s="1"/>
  <c r="AO22" s="1"/>
  <c r="AP21" s="1"/>
  <c r="AP22" s="1"/>
  <c r="F38"/>
  <c r="AX23"/>
  <c r="C23" s="1"/>
  <c r="BK37"/>
  <c r="BG24" i="4"/>
  <c r="BH24" s="1"/>
  <c r="BI24" s="1"/>
  <c r="AW24"/>
  <c r="AQ24"/>
  <c r="AR24" s="1"/>
  <c r="AS24" s="1"/>
  <c r="AT24" s="1"/>
  <c r="AU24" s="1"/>
  <c r="AV24" s="1"/>
  <c r="W27"/>
  <c r="R20"/>
  <c r="R23" s="1"/>
  <c r="Q20"/>
  <c r="Q23" s="1"/>
  <c r="AI27"/>
  <c r="K25"/>
  <c r="AB27"/>
  <c r="AA27"/>
  <c r="E76" i="5"/>
  <c r="D16" i="9"/>
  <c r="F16"/>
  <c r="H16"/>
  <c r="J16"/>
  <c r="L16"/>
  <c r="N16"/>
  <c r="E16"/>
  <c r="M16"/>
  <c r="C16"/>
  <c r="G16"/>
  <c r="I16"/>
  <c r="K16"/>
  <c r="L20" i="8"/>
  <c r="L21"/>
  <c r="G28" s="1"/>
  <c r="I28" s="1"/>
  <c r="AM27" i="4"/>
  <c r="U27"/>
  <c r="AW27"/>
  <c r="AP27"/>
  <c r="AH27"/>
  <c r="T27"/>
  <c r="R27"/>
  <c r="I27"/>
  <c r="AA24"/>
  <c r="AB24" s="1"/>
  <c r="AC24" s="1"/>
  <c r="AD24" s="1"/>
  <c r="AE24" s="1"/>
  <c r="AF24" s="1"/>
  <c r="AG24" s="1"/>
  <c r="AH24" s="1"/>
  <c r="AI24" s="1"/>
  <c r="AJ24" s="1"/>
  <c r="AE27"/>
  <c r="Y27"/>
  <c r="AL27"/>
  <c r="AJ27"/>
  <c r="K13"/>
  <c r="C36"/>
  <c r="AX26"/>
  <c r="Z37"/>
  <c r="AA37" s="1"/>
  <c r="AB37" s="1"/>
  <c r="AC37" s="1"/>
  <c r="AD37" s="1"/>
  <c r="AE37" s="1"/>
  <c r="AF37" s="1"/>
  <c r="AG37" s="1"/>
  <c r="AH37" s="1"/>
  <c r="AI37" s="1"/>
  <c r="AJ37" s="1"/>
  <c r="AM37" s="1"/>
  <c r="AN37" s="1"/>
  <c r="AO37" s="1"/>
  <c r="AP37" s="1"/>
  <c r="M14"/>
  <c r="N24"/>
  <c r="P24" s="1"/>
  <c r="R24" s="1"/>
  <c r="T24" s="1"/>
  <c r="V24" s="1"/>
  <c r="AX25"/>
  <c r="K26"/>
  <c r="AF27"/>
  <c r="AK26"/>
  <c r="S27"/>
  <c r="S20"/>
  <c r="P27"/>
  <c r="P20"/>
  <c r="P23" s="1"/>
  <c r="O27"/>
  <c r="O20"/>
  <c r="O23" s="1"/>
  <c r="AX13"/>
  <c r="AN27"/>
  <c r="AG27"/>
  <c r="AO14"/>
  <c r="AX14" s="1"/>
  <c r="E11" i="5"/>
  <c r="E26" s="1"/>
  <c r="AD14" i="4"/>
  <c r="AD27"/>
  <c r="AC14"/>
  <c r="AC27"/>
  <c r="AK13"/>
  <c r="AK25"/>
  <c r="X25"/>
  <c r="X26"/>
  <c r="L46" i="8"/>
  <c r="G53" s="1"/>
  <c r="I53" s="1"/>
  <c r="L45"/>
  <c r="E59" i="5"/>
  <c r="G55" i="8"/>
  <c r="L14" i="4"/>
  <c r="L27"/>
  <c r="X13"/>
  <c r="Z27"/>
  <c r="V14"/>
  <c r="H14"/>
  <c r="H27"/>
  <c r="E14" i="6"/>
  <c r="F7"/>
  <c r="C17" i="9"/>
  <c r="L37" i="4"/>
  <c r="R37"/>
  <c r="E27"/>
  <c r="G40" i="7"/>
  <c r="E68" i="5"/>
  <c r="G30" i="8"/>
  <c r="F14" i="4"/>
  <c r="F27"/>
  <c r="E23"/>
  <c r="K23" s="1"/>
  <c r="E21"/>
  <c r="G68" i="7"/>
  <c r="G94"/>
  <c r="C37" i="11" l="1"/>
  <c r="F39"/>
  <c r="AW21"/>
  <c r="AW22" s="1"/>
  <c r="AY21" s="1"/>
  <c r="AY22" s="1"/>
  <c r="AZ21" s="1"/>
  <c r="AQ21"/>
  <c r="AQ22" s="1"/>
  <c r="AR21" s="1"/>
  <c r="AR22" s="1"/>
  <c r="AS21" s="1"/>
  <c r="AS22" s="1"/>
  <c r="AT21" s="1"/>
  <c r="AT22" s="1"/>
  <c r="AU21" s="1"/>
  <c r="AU22" s="1"/>
  <c r="AV21" s="1"/>
  <c r="AV22" s="1"/>
  <c r="H34"/>
  <c r="H18"/>
  <c r="I17" s="1"/>
  <c r="BJ29"/>
  <c r="BD29"/>
  <c r="BE29" s="1"/>
  <c r="BF29" s="1"/>
  <c r="BG29" s="1"/>
  <c r="BH29" s="1"/>
  <c r="BI29" s="1"/>
  <c r="AM19"/>
  <c r="AW16"/>
  <c r="AV16"/>
  <c r="AV19" s="1"/>
  <c r="AU16"/>
  <c r="AU19" s="1"/>
  <c r="AT16"/>
  <c r="AT19" s="1"/>
  <c r="AS16"/>
  <c r="AS19" s="1"/>
  <c r="AR16"/>
  <c r="AR19" s="1"/>
  <c r="AQ16"/>
  <c r="AQ19" s="1"/>
  <c r="AP16"/>
  <c r="AP19" s="1"/>
  <c r="AO16"/>
  <c r="AO19" s="1"/>
  <c r="AN16"/>
  <c r="AN19" s="1"/>
  <c r="AZ23"/>
  <c r="BJ20"/>
  <c r="BJ23" s="1"/>
  <c r="BI20"/>
  <c r="BI23" s="1"/>
  <c r="BH20"/>
  <c r="BH23" s="1"/>
  <c r="BG20"/>
  <c r="BG23" s="1"/>
  <c r="BF20"/>
  <c r="BF23" s="1"/>
  <c r="BE20"/>
  <c r="BE23" s="1"/>
  <c r="BD20"/>
  <c r="BD23" s="1"/>
  <c r="BC20"/>
  <c r="BC23" s="1"/>
  <c r="BB20"/>
  <c r="BB23" s="1"/>
  <c r="BA20"/>
  <c r="BA23" s="1"/>
  <c r="AC28"/>
  <c r="AB32"/>
  <c r="H31"/>
  <c r="I30"/>
  <c r="H32"/>
  <c r="H38"/>
  <c r="H39" s="1"/>
  <c r="D41"/>
  <c r="BK29"/>
  <c r="AK19"/>
  <c r="BK23"/>
  <c r="G38"/>
  <c r="G39" s="1"/>
  <c r="C13" i="4"/>
  <c r="BK24"/>
  <c r="D16"/>
  <c r="G16" s="1"/>
  <c r="G19" s="1"/>
  <c r="AZ35"/>
  <c r="AY35"/>
  <c r="E61" i="5"/>
  <c r="BG30" i="4"/>
  <c r="BG31" s="1"/>
  <c r="BC30"/>
  <c r="BC31" s="1"/>
  <c r="AY30"/>
  <c r="BD30"/>
  <c r="BD31" s="1"/>
  <c r="AZ30"/>
  <c r="AZ31" s="1"/>
  <c r="BF30"/>
  <c r="BF31" s="1"/>
  <c r="BB30"/>
  <c r="BB31" s="1"/>
  <c r="BH30"/>
  <c r="BH31" s="1"/>
  <c r="BI30"/>
  <c r="BI31" s="1"/>
  <c r="BE30"/>
  <c r="BE31" s="1"/>
  <c r="BA30"/>
  <c r="BA31" s="1"/>
  <c r="BJ30"/>
  <c r="BJ31" s="1"/>
  <c r="D30"/>
  <c r="AW37"/>
  <c r="AY37" s="1"/>
  <c r="AQ37"/>
  <c r="AR37" s="1"/>
  <c r="AS37" s="1"/>
  <c r="AT37" s="1"/>
  <c r="AU37" s="1"/>
  <c r="AV37" s="1"/>
  <c r="AX24"/>
  <c r="AS30"/>
  <c r="AT30"/>
  <c r="AU30"/>
  <c r="AQ30"/>
  <c r="AV30"/>
  <c r="AR30"/>
  <c r="AK37"/>
  <c r="AX27"/>
  <c r="AL37"/>
  <c r="C26"/>
  <c r="AX37"/>
  <c r="AK24"/>
  <c r="X24"/>
  <c r="Y35"/>
  <c r="L35"/>
  <c r="AM35"/>
  <c r="D35"/>
  <c r="K35" s="1"/>
  <c r="R35"/>
  <c r="Z35"/>
  <c r="M35"/>
  <c r="S35"/>
  <c r="AL35"/>
  <c r="X37"/>
  <c r="T20"/>
  <c r="T23" s="1"/>
  <c r="V20"/>
  <c r="V23" s="1"/>
  <c r="U20"/>
  <c r="U23" s="1"/>
  <c r="Z20"/>
  <c r="S23"/>
  <c r="W20"/>
  <c r="W23" s="1"/>
  <c r="Y20"/>
  <c r="Y23" s="1"/>
  <c r="X27"/>
  <c r="E22"/>
  <c r="F21" s="1"/>
  <c r="F22" s="1"/>
  <c r="G21" s="1"/>
  <c r="G22" s="1"/>
  <c r="H21" s="1"/>
  <c r="H22" s="1"/>
  <c r="I21" s="1"/>
  <c r="I22" s="1"/>
  <c r="J21" s="1"/>
  <c r="J22" s="1"/>
  <c r="L21" s="1"/>
  <c r="L22" s="1"/>
  <c r="M21" s="1"/>
  <c r="M22" s="1"/>
  <c r="N21" s="1"/>
  <c r="N22" s="1"/>
  <c r="O21" s="1"/>
  <c r="O22" s="1"/>
  <c r="P21" s="1"/>
  <c r="P22" s="1"/>
  <c r="Q21" s="1"/>
  <c r="Q22" s="1"/>
  <c r="R21" s="1"/>
  <c r="R22" s="1"/>
  <c r="S21" s="1"/>
  <c r="S22" s="1"/>
  <c r="T21" s="1"/>
  <c r="T22" s="1"/>
  <c r="U21" s="1"/>
  <c r="K14"/>
  <c r="C19" i="9"/>
  <c r="C20"/>
  <c r="C18"/>
  <c r="D17" s="1"/>
  <c r="H16" i="4"/>
  <c r="H19" s="1"/>
  <c r="E17"/>
  <c r="F16"/>
  <c r="F19" s="1"/>
  <c r="F14" i="6"/>
  <c r="E16" i="4"/>
  <c r="M16"/>
  <c r="M19" s="1"/>
  <c r="J16"/>
  <c r="M30"/>
  <c r="M31" s="1"/>
  <c r="O30"/>
  <c r="O31" s="1"/>
  <c r="S30"/>
  <c r="S31" s="1"/>
  <c r="W30"/>
  <c r="W31" s="1"/>
  <c r="L30"/>
  <c r="N30"/>
  <c r="N31" s="1"/>
  <c r="R30"/>
  <c r="R31" s="1"/>
  <c r="V30"/>
  <c r="V31" s="1"/>
  <c r="Z30"/>
  <c r="Z31" s="1"/>
  <c r="AD30"/>
  <c r="AD31" s="1"/>
  <c r="T30"/>
  <c r="T31" s="1"/>
  <c r="U30"/>
  <c r="U31" s="1"/>
  <c r="Y30"/>
  <c r="AA30"/>
  <c r="AA31" s="1"/>
  <c r="AF30"/>
  <c r="AF31" s="1"/>
  <c r="AJ30"/>
  <c r="AJ31" s="1"/>
  <c r="AP30"/>
  <c r="AP31" s="1"/>
  <c r="Q30"/>
  <c r="Q31" s="1"/>
  <c r="AB30"/>
  <c r="AB31" s="1"/>
  <c r="AC30"/>
  <c r="AC31" s="1"/>
  <c r="AE30"/>
  <c r="AE31" s="1"/>
  <c r="AI30"/>
  <c r="AI31" s="1"/>
  <c r="AO30"/>
  <c r="AO31" s="1"/>
  <c r="AW30"/>
  <c r="AW31" s="1"/>
  <c r="P30"/>
  <c r="P31" s="1"/>
  <c r="AG30"/>
  <c r="AG31" s="1"/>
  <c r="AH30"/>
  <c r="AH31" s="1"/>
  <c r="AN30"/>
  <c r="AN31" s="1"/>
  <c r="AL30"/>
  <c r="AM30"/>
  <c r="AM31" s="1"/>
  <c r="M28"/>
  <c r="H29"/>
  <c r="E29"/>
  <c r="G29"/>
  <c r="L29"/>
  <c r="D29"/>
  <c r="I29"/>
  <c r="M29"/>
  <c r="N29" s="1"/>
  <c r="O29" s="1"/>
  <c r="P29" s="1"/>
  <c r="Q29" s="1"/>
  <c r="R29" s="1"/>
  <c r="S29" s="1"/>
  <c r="T29" s="1"/>
  <c r="U29" s="1"/>
  <c r="V29" s="1"/>
  <c r="W29" s="1"/>
  <c r="Y29" s="1"/>
  <c r="J29"/>
  <c r="F29"/>
  <c r="K27"/>
  <c r="AK14"/>
  <c r="C25"/>
  <c r="AK27"/>
  <c r="X14"/>
  <c r="G46" i="11" l="1"/>
  <c r="G40"/>
  <c r="G41" s="1"/>
  <c r="G42" s="1"/>
  <c r="G44" s="1"/>
  <c r="D42"/>
  <c r="H46"/>
  <c r="H40"/>
  <c r="H41" s="1"/>
  <c r="H42" s="1"/>
  <c r="H44" s="1"/>
  <c r="I31"/>
  <c r="J30"/>
  <c r="I32"/>
  <c r="AD28"/>
  <c r="AC32"/>
  <c r="AW19"/>
  <c r="BE16"/>
  <c r="BD16"/>
  <c r="BD19" s="1"/>
  <c r="BC16"/>
  <c r="BC19" s="1"/>
  <c r="BB16"/>
  <c r="BB19" s="1"/>
  <c r="BA16"/>
  <c r="BA19" s="1"/>
  <c r="AZ16"/>
  <c r="AZ19" s="1"/>
  <c r="AY16"/>
  <c r="AY19" s="1"/>
  <c r="I34"/>
  <c r="I18"/>
  <c r="J17" s="1"/>
  <c r="F46"/>
  <c r="F40"/>
  <c r="AX19"/>
  <c r="AZ22"/>
  <c r="BA21" s="1"/>
  <c r="BA22" s="1"/>
  <c r="BB21" s="1"/>
  <c r="BB22" s="1"/>
  <c r="BC21" s="1"/>
  <c r="BC22" s="1"/>
  <c r="C6" i="3"/>
  <c r="C14" i="4"/>
  <c r="L16"/>
  <c r="L19" s="1"/>
  <c r="I16"/>
  <c r="I19" s="1"/>
  <c r="BK35"/>
  <c r="AY31"/>
  <c r="BK31" s="1"/>
  <c r="BK30"/>
  <c r="AZ37"/>
  <c r="AV31"/>
  <c r="AS31"/>
  <c r="AR31"/>
  <c r="AT31"/>
  <c r="AU31"/>
  <c r="AQ31"/>
  <c r="C37"/>
  <c r="AX35"/>
  <c r="AK35"/>
  <c r="C24"/>
  <c r="X35"/>
  <c r="U22"/>
  <c r="V21" s="1"/>
  <c r="V22" s="1"/>
  <c r="W21" s="1"/>
  <c r="W22" s="1"/>
  <c r="Y21" s="1"/>
  <c r="Y22" s="1"/>
  <c r="Z21" s="1"/>
  <c r="X23"/>
  <c r="AD20"/>
  <c r="AD23" s="1"/>
  <c r="AI20"/>
  <c r="AI23" s="1"/>
  <c r="AL20"/>
  <c r="AL23" s="1"/>
  <c r="AM20"/>
  <c r="Z23"/>
  <c r="AG20"/>
  <c r="AG23" s="1"/>
  <c r="AF20"/>
  <c r="AF23" s="1"/>
  <c r="AH20"/>
  <c r="AH23" s="1"/>
  <c r="AJ20"/>
  <c r="AJ23" s="1"/>
  <c r="AC20"/>
  <c r="AC23" s="1"/>
  <c r="AE20"/>
  <c r="AE23" s="1"/>
  <c r="AA20"/>
  <c r="AA23" s="1"/>
  <c r="AB20"/>
  <c r="AB23" s="1"/>
  <c r="Z29"/>
  <c r="AA29" s="1"/>
  <c r="AB29" s="1"/>
  <c r="AC29" s="1"/>
  <c r="AD29" s="1"/>
  <c r="AE29" s="1"/>
  <c r="AF29" s="1"/>
  <c r="AG29" s="1"/>
  <c r="AH29" s="1"/>
  <c r="AI29" s="1"/>
  <c r="AJ29" s="1"/>
  <c r="AL29" s="1"/>
  <c r="N28"/>
  <c r="M32"/>
  <c r="J19"/>
  <c r="R16"/>
  <c r="R19" s="1"/>
  <c r="Q16"/>
  <c r="Q19" s="1"/>
  <c r="S16"/>
  <c r="O16"/>
  <c r="O19" s="1"/>
  <c r="P16"/>
  <c r="P19" s="1"/>
  <c r="N16"/>
  <c r="N19" s="1"/>
  <c r="E19"/>
  <c r="E34"/>
  <c r="C22" i="9"/>
  <c r="C23" s="1"/>
  <c r="X29" i="4"/>
  <c r="L32"/>
  <c r="D31"/>
  <c r="E30"/>
  <c r="E32" s="1"/>
  <c r="C27"/>
  <c r="C5" i="3"/>
  <c r="K29" i="4"/>
  <c r="AL31"/>
  <c r="AX30"/>
  <c r="Y31"/>
  <c r="AK31" s="1"/>
  <c r="AK30"/>
  <c r="X30"/>
  <c r="L31"/>
  <c r="X31" s="1"/>
  <c r="D19" i="9"/>
  <c r="D20"/>
  <c r="D18"/>
  <c r="E17" s="1"/>
  <c r="D32" i="4"/>
  <c r="D38" s="1"/>
  <c r="K28"/>
  <c r="BJ21" i="11" l="1"/>
  <c r="BJ22" s="1"/>
  <c r="BD21"/>
  <c r="BD22" s="1"/>
  <c r="BE21" s="1"/>
  <c r="BE22" s="1"/>
  <c r="BF21" s="1"/>
  <c r="BF22" s="1"/>
  <c r="BG21" s="1"/>
  <c r="BG22" s="1"/>
  <c r="BH21" s="1"/>
  <c r="BH22" s="1"/>
  <c r="BI21" s="1"/>
  <c r="BI22" s="1"/>
  <c r="J34"/>
  <c r="J18"/>
  <c r="L17" s="1"/>
  <c r="BE19"/>
  <c r="BJ16"/>
  <c r="BJ19" s="1"/>
  <c r="BI16"/>
  <c r="BI19" s="1"/>
  <c r="BH16"/>
  <c r="BH19" s="1"/>
  <c r="BG16"/>
  <c r="BG19" s="1"/>
  <c r="BF16"/>
  <c r="BF19" s="1"/>
  <c r="AE28"/>
  <c r="AD32"/>
  <c r="J31"/>
  <c r="K31" s="1"/>
  <c r="C31" s="1"/>
  <c r="J32"/>
  <c r="K32" s="1"/>
  <c r="J38"/>
  <c r="J39" s="1"/>
  <c r="K30"/>
  <c r="C30" s="1"/>
  <c r="D44"/>
  <c r="D45" s="1"/>
  <c r="E45" s="1"/>
  <c r="D43"/>
  <c r="E43" s="1"/>
  <c r="F41"/>
  <c r="K34"/>
  <c r="I38"/>
  <c r="AZ20" i="4"/>
  <c r="AY20"/>
  <c r="AY23" s="1"/>
  <c r="BA37"/>
  <c r="BB37" s="1"/>
  <c r="AV20"/>
  <c r="AV23" s="1"/>
  <c r="AU20"/>
  <c r="AU23" s="1"/>
  <c r="AT20"/>
  <c r="AT23" s="1"/>
  <c r="AS20"/>
  <c r="AS23" s="1"/>
  <c r="AR20"/>
  <c r="AR23" s="1"/>
  <c r="AQ20"/>
  <c r="AQ23" s="1"/>
  <c r="AX31"/>
  <c r="AK29"/>
  <c r="C35"/>
  <c r="AK23"/>
  <c r="AM23"/>
  <c r="AO20"/>
  <c r="AO23" s="1"/>
  <c r="AW20"/>
  <c r="AW23" s="1"/>
  <c r="AP20"/>
  <c r="AP23" s="1"/>
  <c r="AN20"/>
  <c r="AN23" s="1"/>
  <c r="Z22"/>
  <c r="AA21" s="1"/>
  <c r="AA22" s="1"/>
  <c r="AB21" s="1"/>
  <c r="AB22" s="1"/>
  <c r="AC21" s="1"/>
  <c r="AC22" s="1"/>
  <c r="AD21" s="1"/>
  <c r="AD22" s="1"/>
  <c r="AE21" s="1"/>
  <c r="AE22" s="1"/>
  <c r="AF21" s="1"/>
  <c r="AF22" s="1"/>
  <c r="AG21" s="1"/>
  <c r="AG22" s="1"/>
  <c r="AH21" s="1"/>
  <c r="AH22" s="1"/>
  <c r="AI21" s="1"/>
  <c r="AI22" s="1"/>
  <c r="AJ21" s="1"/>
  <c r="AJ22" s="1"/>
  <c r="AL21" s="1"/>
  <c r="AL22" s="1"/>
  <c r="AM21" s="1"/>
  <c r="S19"/>
  <c r="V16"/>
  <c r="V19" s="1"/>
  <c r="U16"/>
  <c r="U19" s="1"/>
  <c r="Z16"/>
  <c r="W16"/>
  <c r="W19" s="1"/>
  <c r="Y16"/>
  <c r="Y19" s="1"/>
  <c r="T16"/>
  <c r="T19" s="1"/>
  <c r="E19" i="9"/>
  <c r="E20"/>
  <c r="E18"/>
  <c r="F17" s="1"/>
  <c r="K19" i="4"/>
  <c r="F30"/>
  <c r="E31"/>
  <c r="E38" s="1"/>
  <c r="AM29"/>
  <c r="AN29" s="1"/>
  <c r="AO29" s="1"/>
  <c r="AP29" s="1"/>
  <c r="D22" i="9"/>
  <c r="D23"/>
  <c r="E18" i="4"/>
  <c r="F17" s="1"/>
  <c r="O28"/>
  <c r="N32"/>
  <c r="I39" i="11" l="1"/>
  <c r="K38"/>
  <c r="F42"/>
  <c r="J46"/>
  <c r="J40"/>
  <c r="J41" s="1"/>
  <c r="J42" s="1"/>
  <c r="J44" s="1"/>
  <c r="AF28"/>
  <c r="AE32"/>
  <c r="L34"/>
  <c r="L18"/>
  <c r="M17" s="1"/>
  <c r="F43"/>
  <c r="G43" s="1"/>
  <c r="H43" s="1"/>
  <c r="BK19"/>
  <c r="C19" s="1"/>
  <c r="BC37" i="4"/>
  <c r="BJ20"/>
  <c r="BJ23" s="1"/>
  <c r="BI20"/>
  <c r="BI23" s="1"/>
  <c r="BH20"/>
  <c r="BH23" s="1"/>
  <c r="BG20"/>
  <c r="BG23" s="1"/>
  <c r="BF20"/>
  <c r="BF23" s="1"/>
  <c r="BE20"/>
  <c r="BE23" s="1"/>
  <c r="BD20"/>
  <c r="BD23" s="1"/>
  <c r="BC20"/>
  <c r="BC23" s="1"/>
  <c r="BB20"/>
  <c r="BB23" s="1"/>
  <c r="BA20"/>
  <c r="BA23" s="1"/>
  <c r="AZ23"/>
  <c r="BK23" s="1"/>
  <c r="AW29"/>
  <c r="AY29" s="1"/>
  <c r="AQ29"/>
  <c r="AR29" s="1"/>
  <c r="AS29" s="1"/>
  <c r="AT29" s="1"/>
  <c r="AU29" s="1"/>
  <c r="AV29" s="1"/>
  <c r="AX29"/>
  <c r="C29" s="1"/>
  <c r="AX23"/>
  <c r="C23" s="1"/>
  <c r="AM22"/>
  <c r="AN21" s="1"/>
  <c r="AN22" s="1"/>
  <c r="AO21" s="1"/>
  <c r="AO22" s="1"/>
  <c r="AP21" s="1"/>
  <c r="D39"/>
  <c r="F31"/>
  <c r="G30"/>
  <c r="F32"/>
  <c r="E22" i="9"/>
  <c r="E23" s="1"/>
  <c r="P28" i="4"/>
  <c r="O32"/>
  <c r="E39"/>
  <c r="X19"/>
  <c r="F18"/>
  <c r="G17" s="1"/>
  <c r="F34"/>
  <c r="Z19"/>
  <c r="AC16"/>
  <c r="AC19" s="1"/>
  <c r="AD16"/>
  <c r="AD19" s="1"/>
  <c r="AA16"/>
  <c r="AA19" s="1"/>
  <c r="AE16"/>
  <c r="AE19" s="1"/>
  <c r="AI16"/>
  <c r="AI19" s="1"/>
  <c r="AH16"/>
  <c r="AH19" s="1"/>
  <c r="AM16"/>
  <c r="AW16" s="1"/>
  <c r="AF16"/>
  <c r="AF19" s="1"/>
  <c r="AJ16"/>
  <c r="AJ19" s="1"/>
  <c r="AG16"/>
  <c r="AG19" s="1"/>
  <c r="AL16"/>
  <c r="AL19" s="1"/>
  <c r="AB16"/>
  <c r="AB19" s="1"/>
  <c r="F19" i="9"/>
  <c r="F20"/>
  <c r="F18"/>
  <c r="G17" s="1"/>
  <c r="M34" i="11" l="1"/>
  <c r="M38" s="1"/>
  <c r="M39" s="1"/>
  <c r="M18"/>
  <c r="N17" s="1"/>
  <c r="L38"/>
  <c r="AG28"/>
  <c r="AF32"/>
  <c r="F44"/>
  <c r="F45" s="1"/>
  <c r="G45" s="1"/>
  <c r="H45" s="1"/>
  <c r="I46"/>
  <c r="K46" s="1"/>
  <c r="I40"/>
  <c r="K40" s="1"/>
  <c r="K39"/>
  <c r="F38" i="4"/>
  <c r="BJ37"/>
  <c r="BD37"/>
  <c r="BB16"/>
  <c r="BB19" s="1"/>
  <c r="BC16"/>
  <c r="BC19" s="1"/>
  <c r="AY16"/>
  <c r="AY19" s="1"/>
  <c r="BD16"/>
  <c r="AZ16"/>
  <c r="AZ19" s="1"/>
  <c r="BE16"/>
  <c r="BE19" s="1"/>
  <c r="BA16"/>
  <c r="BA19" s="1"/>
  <c r="BD19"/>
  <c r="AP22"/>
  <c r="AQ21" s="1"/>
  <c r="AQ22" s="1"/>
  <c r="AR21" s="1"/>
  <c r="AR22" s="1"/>
  <c r="AS21" s="1"/>
  <c r="AS22" s="1"/>
  <c r="AT21" s="1"/>
  <c r="AT22" s="1"/>
  <c r="AU21" s="1"/>
  <c r="AU22" s="1"/>
  <c r="AV21" s="1"/>
  <c r="AV22" s="1"/>
  <c r="AZ29"/>
  <c r="BA29" s="1"/>
  <c r="BB29" s="1"/>
  <c r="BC29" s="1"/>
  <c r="AU16"/>
  <c r="AU19" s="1"/>
  <c r="AQ16"/>
  <c r="AQ19" s="1"/>
  <c r="AS16"/>
  <c r="AS19" s="1"/>
  <c r="AV16"/>
  <c r="AV19" s="1"/>
  <c r="AR16"/>
  <c r="AR19" s="1"/>
  <c r="AT16"/>
  <c r="AT19" s="1"/>
  <c r="E46"/>
  <c r="E40"/>
  <c r="E41" s="1"/>
  <c r="E42" s="1"/>
  <c r="E44" s="1"/>
  <c r="D46"/>
  <c r="D40"/>
  <c r="F39"/>
  <c r="G18"/>
  <c r="H17" s="1"/>
  <c r="G34"/>
  <c r="Q28"/>
  <c r="P32"/>
  <c r="AO16"/>
  <c r="AO19" s="1"/>
  <c r="AN16"/>
  <c r="AN19" s="1"/>
  <c r="AM19"/>
  <c r="AW19"/>
  <c r="AP16"/>
  <c r="AP19" s="1"/>
  <c r="AK19"/>
  <c r="F22" i="9"/>
  <c r="F23"/>
  <c r="H30" i="4"/>
  <c r="G31"/>
  <c r="G32"/>
  <c r="G38" s="1"/>
  <c r="G19" i="9"/>
  <c r="G20"/>
  <c r="G18"/>
  <c r="H17" s="1"/>
  <c r="AH28" i="11" l="1"/>
  <c r="AG32"/>
  <c r="L39"/>
  <c r="N34"/>
  <c r="N18"/>
  <c r="O17" s="1"/>
  <c r="M46"/>
  <c r="M40"/>
  <c r="M41" s="1"/>
  <c r="M42" s="1"/>
  <c r="M44" s="1"/>
  <c r="I41"/>
  <c r="BE37" i="4"/>
  <c r="BF37" s="1"/>
  <c r="BG37" s="1"/>
  <c r="BH37" s="1"/>
  <c r="BI37" s="1"/>
  <c r="BK37"/>
  <c r="BJ16"/>
  <c r="BJ19" s="1"/>
  <c r="BF16"/>
  <c r="BF19" s="1"/>
  <c r="BG16"/>
  <c r="BG19" s="1"/>
  <c r="BH16"/>
  <c r="BH19" s="1"/>
  <c r="BI16"/>
  <c r="BI19" s="1"/>
  <c r="BJ29"/>
  <c r="BD29"/>
  <c r="BE29" s="1"/>
  <c r="BF29" s="1"/>
  <c r="BG29" s="1"/>
  <c r="BH29" s="1"/>
  <c r="BI29" s="1"/>
  <c r="BK29"/>
  <c r="AW21"/>
  <c r="AW22" s="1"/>
  <c r="AY21" s="1"/>
  <c r="AY22" s="1"/>
  <c r="AZ21" s="1"/>
  <c r="AZ22" s="1"/>
  <c r="BA21" s="1"/>
  <c r="BA22" s="1"/>
  <c r="BB21" s="1"/>
  <c r="BB22" s="1"/>
  <c r="BC21" s="1"/>
  <c r="BC22" s="1"/>
  <c r="F46"/>
  <c r="F40"/>
  <c r="F41" s="1"/>
  <c r="F42" s="1"/>
  <c r="F44" s="1"/>
  <c r="G39"/>
  <c r="H19" i="9"/>
  <c r="H20"/>
  <c r="H18"/>
  <c r="I17" s="1"/>
  <c r="R28" i="4"/>
  <c r="Q32"/>
  <c r="D41"/>
  <c r="I30"/>
  <c r="H31"/>
  <c r="H32"/>
  <c r="H34"/>
  <c r="H18"/>
  <c r="I17" s="1"/>
  <c r="G22" i="9"/>
  <c r="G23" s="1"/>
  <c r="AX19" i="4"/>
  <c r="I42" i="11" l="1"/>
  <c r="K41"/>
  <c r="O34"/>
  <c r="O38" s="1"/>
  <c r="O39" s="1"/>
  <c r="O18"/>
  <c r="P17" s="1"/>
  <c r="N38"/>
  <c r="L46"/>
  <c r="L40"/>
  <c r="AI28"/>
  <c r="AH32"/>
  <c r="H38" i="4"/>
  <c r="BK19"/>
  <c r="C19" s="1"/>
  <c r="BJ21"/>
  <c r="BJ22" s="1"/>
  <c r="BD21"/>
  <c r="BD22" s="1"/>
  <c r="BE21" s="1"/>
  <c r="BE22" s="1"/>
  <c r="BF21" s="1"/>
  <c r="BF22" s="1"/>
  <c r="BG21" s="1"/>
  <c r="BG22" s="1"/>
  <c r="BH21" s="1"/>
  <c r="BH22" s="1"/>
  <c r="BI21" s="1"/>
  <c r="BI22" s="1"/>
  <c r="G46"/>
  <c r="G40"/>
  <c r="G41" s="1"/>
  <c r="G42" s="1"/>
  <c r="G44" s="1"/>
  <c r="H22" i="9"/>
  <c r="H23" s="1"/>
  <c r="S28" i="4"/>
  <c r="R32"/>
  <c r="D42"/>
  <c r="I34"/>
  <c r="I18"/>
  <c r="J17" s="1"/>
  <c r="I31"/>
  <c r="J30"/>
  <c r="I32"/>
  <c r="I38" s="1"/>
  <c r="I19" i="9"/>
  <c r="I20"/>
  <c r="I18"/>
  <c r="J17" s="1"/>
  <c r="AJ28" i="11" l="1"/>
  <c r="AI32"/>
  <c r="N39"/>
  <c r="P34"/>
  <c r="P18"/>
  <c r="Q17" s="1"/>
  <c r="O46"/>
  <c r="O40"/>
  <c r="O41" s="1"/>
  <c r="O42" s="1"/>
  <c r="O44" s="1"/>
  <c r="I44"/>
  <c r="I45" s="1"/>
  <c r="J45" s="1"/>
  <c r="K42"/>
  <c r="I43"/>
  <c r="J43" s="1"/>
  <c r="L41"/>
  <c r="I39" i="4"/>
  <c r="I40" s="1"/>
  <c r="J18"/>
  <c r="L17" s="1"/>
  <c r="J34"/>
  <c r="K34" s="1"/>
  <c r="D44"/>
  <c r="D45" s="1"/>
  <c r="E45" s="1"/>
  <c r="F45" s="1"/>
  <c r="G45" s="1"/>
  <c r="D43"/>
  <c r="E43" s="1"/>
  <c r="F43" s="1"/>
  <c r="G43" s="1"/>
  <c r="J19" i="9"/>
  <c r="J20"/>
  <c r="J18"/>
  <c r="K17" s="1"/>
  <c r="H39" i="4"/>
  <c r="T28"/>
  <c r="S32"/>
  <c r="J31"/>
  <c r="K31" s="1"/>
  <c r="C31" s="1"/>
  <c r="J32"/>
  <c r="K30"/>
  <c r="C30" s="1"/>
  <c r="I22" i="9"/>
  <c r="I23" s="1"/>
  <c r="L42" i="11" l="1"/>
  <c r="Q34"/>
  <c r="Q38" s="1"/>
  <c r="Q39" s="1"/>
  <c r="Q18"/>
  <c r="R17" s="1"/>
  <c r="P38"/>
  <c r="N46"/>
  <c r="N40"/>
  <c r="AL28"/>
  <c r="AJ32"/>
  <c r="AK32" s="1"/>
  <c r="AK28"/>
  <c r="L43"/>
  <c r="M43" s="1"/>
  <c r="K32" i="4"/>
  <c r="J38"/>
  <c r="H46"/>
  <c r="H40"/>
  <c r="I46"/>
  <c r="I41"/>
  <c r="I42" s="1"/>
  <c r="I44" s="1"/>
  <c r="J39"/>
  <c r="J40" s="1"/>
  <c r="L34"/>
  <c r="L38" s="1"/>
  <c r="L18"/>
  <c r="M17" s="1"/>
  <c r="K19" i="9"/>
  <c r="K20"/>
  <c r="K18"/>
  <c r="L17" s="1"/>
  <c r="U28" i="4"/>
  <c r="T32"/>
  <c r="J22" i="9"/>
  <c r="J23" s="1"/>
  <c r="AM28" i="11" l="1"/>
  <c r="AL32"/>
  <c r="P39"/>
  <c r="R34"/>
  <c r="R18"/>
  <c r="S17" s="1"/>
  <c r="Q46"/>
  <c r="Q40"/>
  <c r="Q41" s="1"/>
  <c r="Q42" s="1"/>
  <c r="Q44" s="1"/>
  <c r="L44"/>
  <c r="L45" s="1"/>
  <c r="M45" s="1"/>
  <c r="N41"/>
  <c r="J41" i="4"/>
  <c r="J42" s="1"/>
  <c r="J44" s="1"/>
  <c r="J46"/>
  <c r="K46" s="1"/>
  <c r="K39"/>
  <c r="K38"/>
  <c r="L19" i="9"/>
  <c r="L20"/>
  <c r="L18"/>
  <c r="M17" s="1"/>
  <c r="M18" i="4"/>
  <c r="N17" s="1"/>
  <c r="M34"/>
  <c r="M38" s="1"/>
  <c r="H41"/>
  <c r="V28"/>
  <c r="U32"/>
  <c r="K22" i="9"/>
  <c r="K23" s="1"/>
  <c r="N42" i="11" l="1"/>
  <c r="S34"/>
  <c r="S38" s="1"/>
  <c r="S39" s="1"/>
  <c r="S18"/>
  <c r="T17" s="1"/>
  <c r="R38"/>
  <c r="P46"/>
  <c r="P40"/>
  <c r="AN28"/>
  <c r="AM32"/>
  <c r="K41" i="4"/>
  <c r="M39"/>
  <c r="M40" s="1"/>
  <c r="K40"/>
  <c r="L39"/>
  <c r="M19" i="9"/>
  <c r="M20"/>
  <c r="M18"/>
  <c r="N17" s="1"/>
  <c r="L22"/>
  <c r="L23" s="1"/>
  <c r="H42" i="4"/>
  <c r="N34"/>
  <c r="N38" s="1"/>
  <c r="N18"/>
  <c r="O17" s="1"/>
  <c r="W28"/>
  <c r="V32"/>
  <c r="AO28" i="11" l="1"/>
  <c r="AN32"/>
  <c r="R39"/>
  <c r="T34"/>
  <c r="T18"/>
  <c r="U17" s="1"/>
  <c r="S46"/>
  <c r="S40"/>
  <c r="S41" s="1"/>
  <c r="S42" s="1"/>
  <c r="S44" s="1"/>
  <c r="N44"/>
  <c r="N45" s="1"/>
  <c r="O45" s="1"/>
  <c r="N43"/>
  <c r="O43" s="1"/>
  <c r="P41"/>
  <c r="L46" i="4"/>
  <c r="L40"/>
  <c r="L41" s="1"/>
  <c r="M46"/>
  <c r="M41"/>
  <c r="M42" s="1"/>
  <c r="M44" s="1"/>
  <c r="N39"/>
  <c r="H44"/>
  <c r="H45" s="1"/>
  <c r="I45" s="1"/>
  <c r="J45" s="1"/>
  <c r="K42"/>
  <c r="H43"/>
  <c r="I43" s="1"/>
  <c r="J43" s="1"/>
  <c r="M22" i="9"/>
  <c r="M23" s="1"/>
  <c r="W32" i="4"/>
  <c r="Y28"/>
  <c r="X28"/>
  <c r="O34"/>
  <c r="O38" s="1"/>
  <c r="O18"/>
  <c r="P17" s="1"/>
  <c r="N18" i="9"/>
  <c r="N19"/>
  <c r="N20"/>
  <c r="P42" i="11" l="1"/>
  <c r="U34"/>
  <c r="U38" s="1"/>
  <c r="U39" s="1"/>
  <c r="U18"/>
  <c r="V17" s="1"/>
  <c r="T38"/>
  <c r="R46"/>
  <c r="R40"/>
  <c r="R41" s="1"/>
  <c r="AP28"/>
  <c r="AO32"/>
  <c r="P43"/>
  <c r="Q43" s="1"/>
  <c r="X32" i="4"/>
  <c r="N46"/>
  <c r="N40"/>
  <c r="N41" s="1"/>
  <c r="N42" s="1"/>
  <c r="N44" s="1"/>
  <c r="O39"/>
  <c r="O40" s="1"/>
  <c r="L42"/>
  <c r="L43" s="1"/>
  <c r="M43" s="1"/>
  <c r="P18"/>
  <c r="Q17" s="1"/>
  <c r="P34"/>
  <c r="P38" s="1"/>
  <c r="Z28"/>
  <c r="Y32"/>
  <c r="N22" i="9"/>
  <c r="N23"/>
  <c r="C24" s="1"/>
  <c r="C25" s="1"/>
  <c r="R42" i="11" l="1"/>
  <c r="R44" s="1"/>
  <c r="AW28"/>
  <c r="AQ28"/>
  <c r="AP32"/>
  <c r="T39"/>
  <c r="V34"/>
  <c r="V38" s="1"/>
  <c r="V39" s="1"/>
  <c r="V18"/>
  <c r="W17" s="1"/>
  <c r="U46"/>
  <c r="U40"/>
  <c r="U41" s="1"/>
  <c r="U42" s="1"/>
  <c r="U44" s="1"/>
  <c r="P44"/>
  <c r="P45" s="1"/>
  <c r="Q45" s="1"/>
  <c r="R45" s="1"/>
  <c r="S45" s="1"/>
  <c r="R43"/>
  <c r="S43" s="1"/>
  <c r="O46" i="4"/>
  <c r="O41"/>
  <c r="O42" s="1"/>
  <c r="O44" s="1"/>
  <c r="N43"/>
  <c r="P39"/>
  <c r="Q18"/>
  <c r="R17" s="1"/>
  <c r="Q34"/>
  <c r="Q38" s="1"/>
  <c r="AA28"/>
  <c r="Z32"/>
  <c r="L44"/>
  <c r="L45" s="1"/>
  <c r="M45" s="1"/>
  <c r="N45" s="1"/>
  <c r="W34" i="11" l="1"/>
  <c r="W18"/>
  <c r="Y17" s="1"/>
  <c r="V46"/>
  <c r="V40"/>
  <c r="V41" s="1"/>
  <c r="V42" s="1"/>
  <c r="V44" s="1"/>
  <c r="T46"/>
  <c r="T40"/>
  <c r="T41" s="1"/>
  <c r="AR28"/>
  <c r="AQ32"/>
  <c r="AY28"/>
  <c r="AW32"/>
  <c r="P46" i="4"/>
  <c r="P40"/>
  <c r="O43"/>
  <c r="O45"/>
  <c r="Q39"/>
  <c r="Q40" s="1"/>
  <c r="AB28"/>
  <c r="AA32"/>
  <c r="R34"/>
  <c r="R38" s="1"/>
  <c r="R18"/>
  <c r="S17" s="1"/>
  <c r="P41"/>
  <c r="T42" i="11" l="1"/>
  <c r="AZ28"/>
  <c r="AY32"/>
  <c r="AS28"/>
  <c r="AR32"/>
  <c r="Y34"/>
  <c r="Y18"/>
  <c r="Z17" s="1"/>
  <c r="W38"/>
  <c r="X34"/>
  <c r="Q46" i="4"/>
  <c r="Q41"/>
  <c r="Q42" s="1"/>
  <c r="Q44" s="1"/>
  <c r="R39"/>
  <c r="R40" s="1"/>
  <c r="S18"/>
  <c r="T17" s="1"/>
  <c r="S34"/>
  <c r="S38" s="1"/>
  <c r="AC28"/>
  <c r="AB32"/>
  <c r="P42"/>
  <c r="W39" i="11" l="1"/>
  <c r="X38"/>
  <c r="Z34"/>
  <c r="Z38" s="1"/>
  <c r="Z39" s="1"/>
  <c r="Z18"/>
  <c r="AA17" s="1"/>
  <c r="Y38"/>
  <c r="AT28"/>
  <c r="AS32"/>
  <c r="BA28"/>
  <c r="AZ32"/>
  <c r="T44"/>
  <c r="T45" s="1"/>
  <c r="U45" s="1"/>
  <c r="V45" s="1"/>
  <c r="T43"/>
  <c r="U43" s="1"/>
  <c r="V43" s="1"/>
  <c r="R46" i="4"/>
  <c r="R41"/>
  <c r="R42" s="1"/>
  <c r="R44" s="1"/>
  <c r="AD28"/>
  <c r="AC32"/>
  <c r="S39"/>
  <c r="T18"/>
  <c r="U17" s="1"/>
  <c r="T34"/>
  <c r="T38" s="1"/>
  <c r="P44"/>
  <c r="P45" s="1"/>
  <c r="Q45" s="1"/>
  <c r="P43"/>
  <c r="Q43" s="1"/>
  <c r="BB28" i="11" l="1"/>
  <c r="BA32"/>
  <c r="AU28"/>
  <c r="AT32"/>
  <c r="Y39"/>
  <c r="AA34"/>
  <c r="AA18"/>
  <c r="AB17" s="1"/>
  <c r="Z46"/>
  <c r="Z40"/>
  <c r="Z41" s="1"/>
  <c r="Z42" s="1"/>
  <c r="Z44" s="1"/>
  <c r="W46"/>
  <c r="X46" s="1"/>
  <c r="W40"/>
  <c r="X40" s="1"/>
  <c r="X39"/>
  <c r="S46" i="4"/>
  <c r="S40"/>
  <c r="S41" s="1"/>
  <c r="S42" s="1"/>
  <c r="R45"/>
  <c r="R43"/>
  <c r="T39"/>
  <c r="T40" s="1"/>
  <c r="U18"/>
  <c r="V17" s="1"/>
  <c r="U34"/>
  <c r="U38" s="1"/>
  <c r="AE28"/>
  <c r="AD32"/>
  <c r="AB34" i="11" l="1"/>
  <c r="AB38" s="1"/>
  <c r="AB39" s="1"/>
  <c r="AB18"/>
  <c r="AC17" s="1"/>
  <c r="AA38"/>
  <c r="Y46"/>
  <c r="Y40"/>
  <c r="AV28"/>
  <c r="AU32"/>
  <c r="BC28"/>
  <c r="BB32"/>
  <c r="W41"/>
  <c r="T46" i="4"/>
  <c r="T41"/>
  <c r="T42" s="1"/>
  <c r="T44" s="1"/>
  <c r="U39"/>
  <c r="U40" s="1"/>
  <c r="V34"/>
  <c r="V38" s="1"/>
  <c r="V18"/>
  <c r="W17" s="1"/>
  <c r="S44"/>
  <c r="S45" s="1"/>
  <c r="AF28"/>
  <c r="AE32"/>
  <c r="S43"/>
  <c r="W42" i="11" l="1"/>
  <c r="X41"/>
  <c r="BJ28"/>
  <c r="BD28"/>
  <c r="BC32"/>
  <c r="AV32"/>
  <c r="AX32" s="1"/>
  <c r="C32" s="1"/>
  <c r="AX28"/>
  <c r="C28" s="1"/>
  <c r="AA39"/>
  <c r="AC34"/>
  <c r="AC18"/>
  <c r="AD17" s="1"/>
  <c r="AB46"/>
  <c r="AB40"/>
  <c r="AB41" s="1"/>
  <c r="AB42" s="1"/>
  <c r="AB44" s="1"/>
  <c r="Y41"/>
  <c r="T43" i="4"/>
  <c r="U46"/>
  <c r="U41"/>
  <c r="U42" s="1"/>
  <c r="U44" s="1"/>
  <c r="V39"/>
  <c r="T45"/>
  <c r="W34"/>
  <c r="W38" s="1"/>
  <c r="W18"/>
  <c r="Y17" s="1"/>
  <c r="AG28"/>
  <c r="AF32"/>
  <c r="Y42" i="11" l="1"/>
  <c r="AD34"/>
  <c r="AD38" s="1"/>
  <c r="AD39" s="1"/>
  <c r="AD18"/>
  <c r="AE17" s="1"/>
  <c r="AC38"/>
  <c r="AA46"/>
  <c r="AA40"/>
  <c r="BE28"/>
  <c r="BD32"/>
  <c r="BJ32"/>
  <c r="W44"/>
  <c r="W45" s="1"/>
  <c r="X42"/>
  <c r="W43"/>
  <c r="Y43" s="1"/>
  <c r="Z43" s="1"/>
  <c r="V46" i="4"/>
  <c r="V40"/>
  <c r="U43"/>
  <c r="U45"/>
  <c r="V41"/>
  <c r="V42" s="1"/>
  <c r="X34"/>
  <c r="Y34"/>
  <c r="Y38" s="1"/>
  <c r="Y18"/>
  <c r="Z17" s="1"/>
  <c r="AH28"/>
  <c r="AG32"/>
  <c r="BF28" i="11" l="1"/>
  <c r="BE32"/>
  <c r="AC39"/>
  <c r="AE34"/>
  <c r="AE18"/>
  <c r="AF17" s="1"/>
  <c r="AD46"/>
  <c r="AD40"/>
  <c r="AD41" s="1"/>
  <c r="AD42" s="1"/>
  <c r="AD44" s="1"/>
  <c r="Y44"/>
  <c r="Y45"/>
  <c r="Z45" s="1"/>
  <c r="AA41"/>
  <c r="V43" i="4"/>
  <c r="V44"/>
  <c r="V45" s="1"/>
  <c r="W39"/>
  <c r="X38"/>
  <c r="AI28"/>
  <c r="AH32"/>
  <c r="Z34"/>
  <c r="Z38" s="1"/>
  <c r="Z18"/>
  <c r="AA17" s="1"/>
  <c r="AA42" i="11" l="1"/>
  <c r="AF34"/>
  <c r="AF38" s="1"/>
  <c r="AF39" s="1"/>
  <c r="AF18"/>
  <c r="AG17" s="1"/>
  <c r="AE38"/>
  <c r="AC46"/>
  <c r="AC40"/>
  <c r="BG28"/>
  <c r="BF32"/>
  <c r="W46" i="4"/>
  <c r="X46" s="1"/>
  <c r="W40"/>
  <c r="X40" s="1"/>
  <c r="Z39"/>
  <c r="X39"/>
  <c r="AJ28"/>
  <c r="AI32"/>
  <c r="Y39"/>
  <c r="Y46" s="1"/>
  <c r="AA34"/>
  <c r="AA38" s="1"/>
  <c r="AA18"/>
  <c r="AB17" s="1"/>
  <c r="BH28" i="11" l="1"/>
  <c r="BG32"/>
  <c r="AE39"/>
  <c r="AG34"/>
  <c r="AG18"/>
  <c r="AH17" s="1"/>
  <c r="AF46"/>
  <c r="AF40"/>
  <c r="AF41" s="1"/>
  <c r="AF42" s="1"/>
  <c r="AF44" s="1"/>
  <c r="AA44"/>
  <c r="AA45" s="1"/>
  <c r="AB45" s="1"/>
  <c r="AA43"/>
  <c r="AB43" s="1"/>
  <c r="AC41"/>
  <c r="Z46" i="4"/>
  <c r="Z40"/>
  <c r="Z41" s="1"/>
  <c r="Z42" s="1"/>
  <c r="Z44" s="1"/>
  <c r="AA39"/>
  <c r="AA46" s="1"/>
  <c r="AL28"/>
  <c r="AJ32"/>
  <c r="AK28"/>
  <c r="Y40"/>
  <c r="Y41" s="1"/>
  <c r="AB18"/>
  <c r="AC17" s="1"/>
  <c r="AB34"/>
  <c r="AB38" s="1"/>
  <c r="W41"/>
  <c r="AC42" i="11" l="1"/>
  <c r="AH34"/>
  <c r="AH38" s="1"/>
  <c r="AH39" s="1"/>
  <c r="AH18"/>
  <c r="AI17" s="1"/>
  <c r="AG38"/>
  <c r="AE46"/>
  <c r="AE40"/>
  <c r="AE41" s="1"/>
  <c r="BI28"/>
  <c r="BH32"/>
  <c r="AC43"/>
  <c r="AD43" s="1"/>
  <c r="AK32" i="4"/>
  <c r="W42"/>
  <c r="X42" s="1"/>
  <c r="X41"/>
  <c r="Y42"/>
  <c r="AA40"/>
  <c r="AA41" s="1"/>
  <c r="AA42" s="1"/>
  <c r="AA44" s="1"/>
  <c r="AB39"/>
  <c r="AM28"/>
  <c r="AL32"/>
  <c r="AC34"/>
  <c r="AC38" s="1"/>
  <c r="AC18"/>
  <c r="AD17" s="1"/>
  <c r="Y44"/>
  <c r="AE42" i="11" l="1"/>
  <c r="AE44" s="1"/>
  <c r="BI32"/>
  <c r="BK32" s="1"/>
  <c r="BK28"/>
  <c r="AG39"/>
  <c r="AI34"/>
  <c r="AI38" s="1"/>
  <c r="AI39" s="1"/>
  <c r="AI18"/>
  <c r="AJ17" s="1"/>
  <c r="AH46"/>
  <c r="AH40"/>
  <c r="AH41" s="1"/>
  <c r="AH42" s="1"/>
  <c r="AH44" s="1"/>
  <c r="AC44"/>
  <c r="AC45" s="1"/>
  <c r="AD45" s="1"/>
  <c r="AE45" s="1"/>
  <c r="AF45" s="1"/>
  <c r="AE43"/>
  <c r="AF43" s="1"/>
  <c r="W43" i="4"/>
  <c r="Y43" s="1"/>
  <c r="Z43" s="1"/>
  <c r="AA43" s="1"/>
  <c r="W44"/>
  <c r="W45" s="1"/>
  <c r="Y45" s="1"/>
  <c r="Z45" s="1"/>
  <c r="AA45" s="1"/>
  <c r="AB46"/>
  <c r="AB40"/>
  <c r="AB41" s="1"/>
  <c r="AB42" s="1"/>
  <c r="AB44" s="1"/>
  <c r="AD18"/>
  <c r="AE17" s="1"/>
  <c r="AD34"/>
  <c r="AD38" s="1"/>
  <c r="AN28"/>
  <c r="AM32"/>
  <c r="AJ34" i="11" l="1"/>
  <c r="AJ18"/>
  <c r="AL17" s="1"/>
  <c r="AI46"/>
  <c r="AI40"/>
  <c r="AI41" s="1"/>
  <c r="AI42" s="1"/>
  <c r="AI44" s="1"/>
  <c r="AG46"/>
  <c r="AG40"/>
  <c r="AG41" s="1"/>
  <c r="AB43" i="4"/>
  <c r="AB45"/>
  <c r="AD39"/>
  <c r="AO28"/>
  <c r="AN32"/>
  <c r="AC39"/>
  <c r="AC46" s="1"/>
  <c r="AE34"/>
  <c r="AE38" s="1"/>
  <c r="AE18"/>
  <c r="AF17" s="1"/>
  <c r="AG42" i="11" l="1"/>
  <c r="AL34"/>
  <c r="AL18"/>
  <c r="AM17" s="1"/>
  <c r="AJ38"/>
  <c r="AK34"/>
  <c r="AD46" i="4"/>
  <c r="AD40"/>
  <c r="AD41" s="1"/>
  <c r="AD42" s="1"/>
  <c r="AD44" s="1"/>
  <c r="AC40"/>
  <c r="AC41" s="1"/>
  <c r="AF34"/>
  <c r="AF38" s="1"/>
  <c r="AF18"/>
  <c r="AG17" s="1"/>
  <c r="AP28"/>
  <c r="AQ28" s="1"/>
  <c r="AO32"/>
  <c r="AJ39" i="11" l="1"/>
  <c r="AK38"/>
  <c r="AM34"/>
  <c r="AM38" s="1"/>
  <c r="AM39" s="1"/>
  <c r="AM18"/>
  <c r="AN17" s="1"/>
  <c r="AL38"/>
  <c r="AG44"/>
  <c r="AG45" s="1"/>
  <c r="AH45" s="1"/>
  <c r="AI45" s="1"/>
  <c r="AG43"/>
  <c r="AH43" s="1"/>
  <c r="AI43" s="1"/>
  <c r="AC42" i="4"/>
  <c r="AC43" s="1"/>
  <c r="AD43" s="1"/>
  <c r="AR28"/>
  <c r="AQ32"/>
  <c r="AF39"/>
  <c r="AW28"/>
  <c r="AY28" s="1"/>
  <c r="AP32"/>
  <c r="AE39"/>
  <c r="AE46" s="1"/>
  <c r="AG18"/>
  <c r="AH17" s="1"/>
  <c r="AG34"/>
  <c r="AG38" s="1"/>
  <c r="AL39" i="11" l="1"/>
  <c r="AN34"/>
  <c r="AN18"/>
  <c r="AO17" s="1"/>
  <c r="AM46"/>
  <c r="AM40"/>
  <c r="AM41" s="1"/>
  <c r="AM42" s="1"/>
  <c r="AM44" s="1"/>
  <c r="AJ46"/>
  <c r="AK46" s="1"/>
  <c r="AJ40"/>
  <c r="AK40" s="1"/>
  <c r="AK39"/>
  <c r="AC44" i="4"/>
  <c r="AC45" s="1"/>
  <c r="AD45" s="1"/>
  <c r="AZ28"/>
  <c r="AY32"/>
  <c r="AS28"/>
  <c r="AR32"/>
  <c r="AF46"/>
  <c r="AF40"/>
  <c r="AF41" s="1"/>
  <c r="AF42" s="1"/>
  <c r="AF44" s="1"/>
  <c r="AG39"/>
  <c r="AW32"/>
  <c r="AE40"/>
  <c r="AE41" s="1"/>
  <c r="AH18"/>
  <c r="AI17" s="1"/>
  <c r="AH34"/>
  <c r="AH38" s="1"/>
  <c r="AO34" i="11" l="1"/>
  <c r="AO38" s="1"/>
  <c r="AO39" s="1"/>
  <c r="AO18"/>
  <c r="AP17" s="1"/>
  <c r="AN38"/>
  <c r="AL46"/>
  <c r="AL40"/>
  <c r="AJ41"/>
  <c r="AE42" i="4"/>
  <c r="AE43" s="1"/>
  <c r="AF43" s="1"/>
  <c r="BA28"/>
  <c r="AZ32"/>
  <c r="AT28"/>
  <c r="AS32"/>
  <c r="AG46"/>
  <c r="AG40"/>
  <c r="AG41" s="1"/>
  <c r="AG42" s="1"/>
  <c r="AG44" s="1"/>
  <c r="AH39"/>
  <c r="AI34"/>
  <c r="AI38" s="1"/>
  <c r="AI18"/>
  <c r="AJ17" s="1"/>
  <c r="AJ42" i="11" l="1"/>
  <c r="AK41"/>
  <c r="AN39"/>
  <c r="AP34"/>
  <c r="AP18"/>
  <c r="AO46"/>
  <c r="AO40"/>
  <c r="AO41" s="1"/>
  <c r="AO42" s="1"/>
  <c r="AO44" s="1"/>
  <c r="AL41"/>
  <c r="AE44" i="4"/>
  <c r="AE45" s="1"/>
  <c r="AF45" s="1"/>
  <c r="AG45" s="1"/>
  <c r="BB28"/>
  <c r="BA32"/>
  <c r="AU28"/>
  <c r="AT32"/>
  <c r="AG43"/>
  <c r="AH46"/>
  <c r="AH40"/>
  <c r="AH41" s="1"/>
  <c r="AI39"/>
  <c r="AJ34"/>
  <c r="AJ38" s="1"/>
  <c r="AJ18"/>
  <c r="AL17" s="1"/>
  <c r="AL42" i="11" l="1"/>
  <c r="AW17"/>
  <c r="AQ17"/>
  <c r="AP38"/>
  <c r="AN46"/>
  <c r="AN40"/>
  <c r="AJ44"/>
  <c r="AJ45" s="1"/>
  <c r="AK42"/>
  <c r="AJ43"/>
  <c r="AL43" s="1"/>
  <c r="AM43" s="1"/>
  <c r="AH42" i="4"/>
  <c r="AH44" s="1"/>
  <c r="AH45" s="1"/>
  <c r="BC28"/>
  <c r="BB32"/>
  <c r="AV28"/>
  <c r="AU32"/>
  <c r="AX28"/>
  <c r="C28" s="1"/>
  <c r="AI46"/>
  <c r="AI40"/>
  <c r="AI41" s="1"/>
  <c r="AI42" s="1"/>
  <c r="AI44" s="1"/>
  <c r="AL18"/>
  <c r="AM17" s="1"/>
  <c r="AL34"/>
  <c r="AL38" s="1"/>
  <c r="AK34"/>
  <c r="AP39" i="11" l="1"/>
  <c r="AQ34"/>
  <c r="AQ18"/>
  <c r="AR17" s="1"/>
  <c r="AW34"/>
  <c r="AW38" s="1"/>
  <c r="AW39" s="1"/>
  <c r="AW18"/>
  <c r="AY17" s="1"/>
  <c r="AL44"/>
  <c r="AL45"/>
  <c r="AM45" s="1"/>
  <c r="AN41"/>
  <c r="AH43" i="4"/>
  <c r="AI43" s="1"/>
  <c r="BJ28"/>
  <c r="BD28"/>
  <c r="BC32"/>
  <c r="AV32"/>
  <c r="AI45"/>
  <c r="AM34"/>
  <c r="AM38" s="1"/>
  <c r="AM18"/>
  <c r="AN17" s="1"/>
  <c r="AJ39"/>
  <c r="AJ46" s="1"/>
  <c r="AK46" s="1"/>
  <c r="AK38"/>
  <c r="AN42" i="11" l="1"/>
  <c r="AY34"/>
  <c r="AY18"/>
  <c r="AZ17" s="1"/>
  <c r="AW46"/>
  <c r="AW40"/>
  <c r="AW41" s="1"/>
  <c r="AW42" s="1"/>
  <c r="AW44" s="1"/>
  <c r="AR34"/>
  <c r="AR38" s="1"/>
  <c r="AR39" s="1"/>
  <c r="AR18"/>
  <c r="AS17" s="1"/>
  <c r="AQ38"/>
  <c r="AP46"/>
  <c r="AP40"/>
  <c r="AX32" i="4"/>
  <c r="C32" s="1"/>
  <c r="BE28"/>
  <c r="BD32"/>
  <c r="BJ32"/>
  <c r="AM39"/>
  <c r="AJ40"/>
  <c r="AK40" s="1"/>
  <c r="AK39"/>
  <c r="AN18"/>
  <c r="AO17" s="1"/>
  <c r="AN34"/>
  <c r="AN38" s="1"/>
  <c r="AL39"/>
  <c r="AL46" s="1"/>
  <c r="AQ39" i="11" l="1"/>
  <c r="AS34"/>
  <c r="AS18"/>
  <c r="AT17" s="1"/>
  <c r="AR46"/>
  <c r="AR40"/>
  <c r="AR41" s="1"/>
  <c r="AR42" s="1"/>
  <c r="AR44" s="1"/>
  <c r="AZ34"/>
  <c r="AZ38" s="1"/>
  <c r="AZ39" s="1"/>
  <c r="AZ18"/>
  <c r="BA17" s="1"/>
  <c r="AY38"/>
  <c r="AN44"/>
  <c r="AN45" s="1"/>
  <c r="AO45" s="1"/>
  <c r="AN43"/>
  <c r="AO43" s="1"/>
  <c r="AP41"/>
  <c r="BF28" i="4"/>
  <c r="BE32"/>
  <c r="AM46"/>
  <c r="AM40"/>
  <c r="AM41" s="1"/>
  <c r="AM42" s="1"/>
  <c r="AM44" s="1"/>
  <c r="AJ41"/>
  <c r="AL40"/>
  <c r="AO34"/>
  <c r="AO38" s="1"/>
  <c r="AO18"/>
  <c r="AP17" s="1"/>
  <c r="AP42" i="11" l="1"/>
  <c r="AY39"/>
  <c r="BA34"/>
  <c r="BA18"/>
  <c r="BB17" s="1"/>
  <c r="AZ46"/>
  <c r="AZ40"/>
  <c r="AZ41" s="1"/>
  <c r="AZ42" s="1"/>
  <c r="AZ44" s="1"/>
  <c r="AT34"/>
  <c r="AT38" s="1"/>
  <c r="AT39" s="1"/>
  <c r="AT18"/>
  <c r="AU17" s="1"/>
  <c r="AS38"/>
  <c r="AQ46"/>
  <c r="AQ40"/>
  <c r="AQ41" s="1"/>
  <c r="AP43"/>
  <c r="AJ42" i="4"/>
  <c r="AJ44" s="1"/>
  <c r="AJ45" s="1"/>
  <c r="AK41"/>
  <c r="BG28"/>
  <c r="BF32"/>
  <c r="AO39"/>
  <c r="AP34"/>
  <c r="AP38" s="1"/>
  <c r="AP18"/>
  <c r="AL41"/>
  <c r="AN39"/>
  <c r="AN46" s="1"/>
  <c r="AQ42" i="11" l="1"/>
  <c r="AQ44" s="1"/>
  <c r="AS39"/>
  <c r="AU34"/>
  <c r="AU38" s="1"/>
  <c r="AU39" s="1"/>
  <c r="AU18"/>
  <c r="AV17" s="1"/>
  <c r="AT46"/>
  <c r="AT40"/>
  <c r="AT41" s="1"/>
  <c r="AT42" s="1"/>
  <c r="AT44" s="1"/>
  <c r="BB34"/>
  <c r="BB38" s="1"/>
  <c r="BB39" s="1"/>
  <c r="BB18"/>
  <c r="BC17" s="1"/>
  <c r="BA38"/>
  <c r="AY46"/>
  <c r="AY40"/>
  <c r="AP44"/>
  <c r="AP45" s="1"/>
  <c r="AQ45" s="1"/>
  <c r="AR45" s="1"/>
  <c r="AQ43"/>
  <c r="AR43" s="1"/>
  <c r="AJ43" i="4"/>
  <c r="AK42"/>
  <c r="AL42"/>
  <c r="AL44" s="1"/>
  <c r="AL45" s="1"/>
  <c r="AM45" s="1"/>
  <c r="BH28"/>
  <c r="BG32"/>
  <c r="AW17"/>
  <c r="AW34" s="1"/>
  <c r="AW38" s="1"/>
  <c r="AQ17"/>
  <c r="AO46"/>
  <c r="AO40"/>
  <c r="AO41" s="1"/>
  <c r="AO42" s="1"/>
  <c r="AO44" s="1"/>
  <c r="AP39"/>
  <c r="AP46" s="1"/>
  <c r="AN40"/>
  <c r="AN41" s="1"/>
  <c r="AN42" s="1"/>
  <c r="AN44" s="1"/>
  <c r="BA39" i="11" l="1"/>
  <c r="BC34"/>
  <c r="BC18"/>
  <c r="BB46"/>
  <c r="BB40"/>
  <c r="BB41" s="1"/>
  <c r="BB42" s="1"/>
  <c r="BB44" s="1"/>
  <c r="AV34"/>
  <c r="AV18"/>
  <c r="AU46"/>
  <c r="AU40"/>
  <c r="AU41" s="1"/>
  <c r="AU42" s="1"/>
  <c r="AU44" s="1"/>
  <c r="AS46"/>
  <c r="AS40"/>
  <c r="AS41" s="1"/>
  <c r="AY41"/>
  <c r="AL43" i="4"/>
  <c r="AM43" s="1"/>
  <c r="AW18"/>
  <c r="AY17" s="1"/>
  <c r="AY34" s="1"/>
  <c r="AY38" s="1"/>
  <c r="BI28"/>
  <c r="BH32"/>
  <c r="AQ34"/>
  <c r="AQ18"/>
  <c r="AR17" s="1"/>
  <c r="AP40"/>
  <c r="AP41" s="1"/>
  <c r="AP42" s="1"/>
  <c r="AP44" s="1"/>
  <c r="AN43"/>
  <c r="AO43" s="1"/>
  <c r="AN45"/>
  <c r="AO45" s="1"/>
  <c r="AS42" i="11" l="1"/>
  <c r="AY42"/>
  <c r="AV38"/>
  <c r="AX34"/>
  <c r="C34" s="1"/>
  <c r="BJ17"/>
  <c r="BD17"/>
  <c r="BC38"/>
  <c r="BA46"/>
  <c r="BA40"/>
  <c r="AQ38" i="4"/>
  <c r="AQ39" s="1"/>
  <c r="AY18"/>
  <c r="AZ17" s="1"/>
  <c r="AZ34" s="1"/>
  <c r="BI32"/>
  <c r="BK28"/>
  <c r="AR18"/>
  <c r="AS17" s="1"/>
  <c r="AR34"/>
  <c r="AR38" s="1"/>
  <c r="AP43"/>
  <c r="AP45"/>
  <c r="AW39"/>
  <c r="AW46" s="1"/>
  <c r="BC39" i="11" l="1"/>
  <c r="BD34"/>
  <c r="BD18"/>
  <c r="BE17" s="1"/>
  <c r="BJ34"/>
  <c r="BJ38" s="1"/>
  <c r="BJ39" s="1"/>
  <c r="BJ18"/>
  <c r="AV39"/>
  <c r="AX38"/>
  <c r="AY44"/>
  <c r="AS44"/>
  <c r="AS45" s="1"/>
  <c r="AT45" s="1"/>
  <c r="AU45" s="1"/>
  <c r="AS43"/>
  <c r="AT43" s="1"/>
  <c r="AU43" s="1"/>
  <c r="BA41"/>
  <c r="AQ46" i="4"/>
  <c r="AQ40"/>
  <c r="AQ41" s="1"/>
  <c r="AQ42" s="1"/>
  <c r="AQ44" s="1"/>
  <c r="AZ38"/>
  <c r="AZ39" s="1"/>
  <c r="BK32"/>
  <c r="AQ43"/>
  <c r="AZ18"/>
  <c r="BA17" s="1"/>
  <c r="BA18" s="1"/>
  <c r="BB17" s="1"/>
  <c r="AY39"/>
  <c r="AQ45"/>
  <c r="AS18"/>
  <c r="AT17" s="1"/>
  <c r="AS34"/>
  <c r="AW40"/>
  <c r="BA42" i="11" l="1"/>
  <c r="AV46"/>
  <c r="AX46" s="1"/>
  <c r="AV40"/>
  <c r="AX40" s="1"/>
  <c r="AX39"/>
  <c r="BJ46"/>
  <c r="BJ40"/>
  <c r="BJ41" s="1"/>
  <c r="BE34"/>
  <c r="BE38" s="1"/>
  <c r="BE39" s="1"/>
  <c r="BE18"/>
  <c r="BF17" s="1"/>
  <c r="BD38"/>
  <c r="BC46"/>
  <c r="BC40"/>
  <c r="AZ46" i="4"/>
  <c r="AZ40"/>
  <c r="AZ41" s="1"/>
  <c r="AZ42" s="1"/>
  <c r="AZ44" s="1"/>
  <c r="AS38"/>
  <c r="AS39" s="1"/>
  <c r="BA34"/>
  <c r="BA38" s="1"/>
  <c r="BB34"/>
  <c r="BB18"/>
  <c r="BC17" s="1"/>
  <c r="AY46"/>
  <c r="AY40"/>
  <c r="AR39"/>
  <c r="AT18"/>
  <c r="AU17" s="1"/>
  <c r="AT34"/>
  <c r="AT38" s="1"/>
  <c r="AW41"/>
  <c r="BJ42" i="11" l="1"/>
  <c r="BJ44" s="1"/>
  <c r="BD39"/>
  <c r="BF34"/>
  <c r="BF18"/>
  <c r="BG17" s="1"/>
  <c r="BE46"/>
  <c r="BE40"/>
  <c r="BE41" s="1"/>
  <c r="BE42" s="1"/>
  <c r="BE44" s="1"/>
  <c r="BA44"/>
  <c r="BC41"/>
  <c r="AV41"/>
  <c r="AS46" i="4"/>
  <c r="AS40"/>
  <c r="AS41" s="1"/>
  <c r="AS42" s="1"/>
  <c r="AS44" s="1"/>
  <c r="BB38"/>
  <c r="BB39" s="1"/>
  <c r="AW42"/>
  <c r="BA39"/>
  <c r="BC34"/>
  <c r="BC38" s="1"/>
  <c r="BC18"/>
  <c r="AY41"/>
  <c r="AR46"/>
  <c r="AR40"/>
  <c r="AU18"/>
  <c r="AV17" s="1"/>
  <c r="AU34"/>
  <c r="AW44"/>
  <c r="AV42" i="11" l="1"/>
  <c r="AX41"/>
  <c r="BC42"/>
  <c r="BG34"/>
  <c r="BG38" s="1"/>
  <c r="BG39" s="1"/>
  <c r="BG18"/>
  <c r="BH17" s="1"/>
  <c r="BF38"/>
  <c r="BD46"/>
  <c r="BD40"/>
  <c r="BD41" s="1"/>
  <c r="BB46" i="4"/>
  <c r="BB40"/>
  <c r="BB41" s="1"/>
  <c r="BB42" s="1"/>
  <c r="BB44" s="1"/>
  <c r="AU38"/>
  <c r="AU39" s="1"/>
  <c r="AY42"/>
  <c r="AY44" s="1"/>
  <c r="BJ17"/>
  <c r="BD17"/>
  <c r="BA46"/>
  <c r="BA40"/>
  <c r="AR41"/>
  <c r="AV18"/>
  <c r="AV34"/>
  <c r="AV38" s="1"/>
  <c r="AT39"/>
  <c r="BD42" i="11" l="1"/>
  <c r="BD44" s="1"/>
  <c r="BF39"/>
  <c r="BH34"/>
  <c r="BH38" s="1"/>
  <c r="BH39" s="1"/>
  <c r="BH18"/>
  <c r="BI17" s="1"/>
  <c r="BG46"/>
  <c r="BG40"/>
  <c r="BG41" s="1"/>
  <c r="BG42" s="1"/>
  <c r="BG44" s="1"/>
  <c r="BC44"/>
  <c r="AV44"/>
  <c r="AV45" s="1"/>
  <c r="AW45" s="1"/>
  <c r="AY45" s="1"/>
  <c r="AZ45" s="1"/>
  <c r="BA45" s="1"/>
  <c r="BB45" s="1"/>
  <c r="BC45" s="1"/>
  <c r="BD45" s="1"/>
  <c r="BE45" s="1"/>
  <c r="AX42"/>
  <c r="AV43"/>
  <c r="AW43" s="1"/>
  <c r="AY43" s="1"/>
  <c r="AZ43" s="1"/>
  <c r="BA43" s="1"/>
  <c r="BB43" s="1"/>
  <c r="BC43" s="1"/>
  <c r="BD43" s="1"/>
  <c r="BE43" s="1"/>
  <c r="AU40" i="4"/>
  <c r="AU41" s="1"/>
  <c r="AU42" s="1"/>
  <c r="AU44" s="1"/>
  <c r="AU46"/>
  <c r="BC39"/>
  <c r="BD34"/>
  <c r="BD38" s="1"/>
  <c r="BD18"/>
  <c r="BE17" s="1"/>
  <c r="BJ34"/>
  <c r="BJ18"/>
  <c r="BA41"/>
  <c r="AX34"/>
  <c r="C34" s="1"/>
  <c r="AR42"/>
  <c r="AT46"/>
  <c r="AT40"/>
  <c r="BI34" i="11" l="1"/>
  <c r="BI18"/>
  <c r="BH46"/>
  <c r="BH40"/>
  <c r="BH41" s="1"/>
  <c r="BH42" s="1"/>
  <c r="BH44" s="1"/>
  <c r="BF46"/>
  <c r="BF40"/>
  <c r="BF41" s="1"/>
  <c r="BJ38" i="4"/>
  <c r="BJ39" s="1"/>
  <c r="BA42"/>
  <c r="BA44" s="1"/>
  <c r="BE34"/>
  <c r="BE18"/>
  <c r="BF17" s="1"/>
  <c r="BC46"/>
  <c r="BC40"/>
  <c r="AV39"/>
  <c r="AX38"/>
  <c r="AT41"/>
  <c r="AR44"/>
  <c r="AR45" s="1"/>
  <c r="AS45" s="1"/>
  <c r="AR43"/>
  <c r="AS43" s="1"/>
  <c r="BF42" i="11" l="1"/>
  <c r="BI38"/>
  <c r="BK34"/>
  <c r="BJ46" i="4"/>
  <c r="BJ40"/>
  <c r="BJ41" s="1"/>
  <c r="BE38"/>
  <c r="BE39" s="1"/>
  <c r="BJ42"/>
  <c r="BJ44" s="1"/>
  <c r="BD39"/>
  <c r="BF34"/>
  <c r="BF38" s="1"/>
  <c r="BF18"/>
  <c r="BG17" s="1"/>
  <c r="BC41"/>
  <c r="AV46"/>
  <c r="AX46" s="1"/>
  <c r="AV40"/>
  <c r="AX39"/>
  <c r="AT42"/>
  <c r="AT43" s="1"/>
  <c r="AU43" s="1"/>
  <c r="BI39" i="11" l="1"/>
  <c r="BK38"/>
  <c r="C38" s="1"/>
  <c r="BF44"/>
  <c r="BF45" s="1"/>
  <c r="BG45" s="1"/>
  <c r="BH45" s="1"/>
  <c r="BF43"/>
  <c r="BG43" s="1"/>
  <c r="BH43" s="1"/>
  <c r="BE46" i="4"/>
  <c r="BE40"/>
  <c r="BE41" s="1"/>
  <c r="BE42" s="1"/>
  <c r="BE44" s="1"/>
  <c r="BC42"/>
  <c r="BC44" s="1"/>
  <c r="BG34"/>
  <c r="BG18"/>
  <c r="BH17" s="1"/>
  <c r="BD46"/>
  <c r="BD40"/>
  <c r="BD41" s="1"/>
  <c r="BD42" s="1"/>
  <c r="AV41"/>
  <c r="AX41" s="1"/>
  <c r="AX40"/>
  <c r="AT44"/>
  <c r="AT45" s="1"/>
  <c r="AU45" s="1"/>
  <c r="BI46" i="11" l="1"/>
  <c r="BK46" s="1"/>
  <c r="C46" s="1"/>
  <c r="BI40"/>
  <c r="BK40" s="1"/>
  <c r="C40" s="1"/>
  <c r="BK39"/>
  <c r="C39" s="1"/>
  <c r="BG38" i="4"/>
  <c r="BG39" s="1"/>
  <c r="BD44"/>
  <c r="BF39"/>
  <c r="BH34"/>
  <c r="BH18"/>
  <c r="BI17" s="1"/>
  <c r="AV42"/>
  <c r="BI41" i="11" l="1"/>
  <c r="BG46" i="4"/>
  <c r="BG40"/>
  <c r="BG41" s="1"/>
  <c r="BG42" s="1"/>
  <c r="BG44" s="1"/>
  <c r="BH38"/>
  <c r="BH39" s="1"/>
  <c r="BI34"/>
  <c r="BI38" s="1"/>
  <c r="BI18"/>
  <c r="BF46"/>
  <c r="BF40"/>
  <c r="BF41" s="1"/>
  <c r="AV44"/>
  <c r="AV45" s="1"/>
  <c r="AW45" s="1"/>
  <c r="AV43"/>
  <c r="AW43" s="1"/>
  <c r="AX42"/>
  <c r="BI42" i="11" l="1"/>
  <c r="BK41"/>
  <c r="C41"/>
  <c r="BH46" i="4"/>
  <c r="BH40"/>
  <c r="BH41" s="1"/>
  <c r="BH42" s="1"/>
  <c r="BH44" s="1"/>
  <c r="BF42"/>
  <c r="BF44" s="1"/>
  <c r="AY43"/>
  <c r="AZ43" s="1"/>
  <c r="BA43" s="1"/>
  <c r="BB43" s="1"/>
  <c r="BC43" s="1"/>
  <c r="BD43" s="1"/>
  <c r="BE43" s="1"/>
  <c r="AY45"/>
  <c r="AZ45" s="1"/>
  <c r="BA45" s="1"/>
  <c r="BB45" s="1"/>
  <c r="BC45" s="1"/>
  <c r="BD45" s="1"/>
  <c r="BE45" s="1"/>
  <c r="BK34"/>
  <c r="BI44" i="11" l="1"/>
  <c r="BI45" s="1"/>
  <c r="BJ45" s="1"/>
  <c r="C45" s="1"/>
  <c r="BK42"/>
  <c r="C42" s="1"/>
  <c r="BI43"/>
  <c r="BJ43" s="1"/>
  <c r="C43" s="1"/>
  <c r="BF43" i="4"/>
  <c r="BG43" s="1"/>
  <c r="BH43" s="1"/>
  <c r="BF45"/>
  <c r="BG45" s="1"/>
  <c r="BH45" s="1"/>
  <c r="BI39"/>
  <c r="BK38"/>
  <c r="C38" s="1"/>
  <c r="BI46" l="1"/>
  <c r="BK46" s="1"/>
  <c r="C46" s="1"/>
  <c r="C4" i="3" s="1"/>
  <c r="BI40" i="4"/>
  <c r="BK40" s="1"/>
  <c r="C40" s="1"/>
  <c r="BK39"/>
  <c r="C39" s="1"/>
  <c r="BI41" l="1"/>
  <c r="BK41" s="1"/>
  <c r="BI42" l="1"/>
  <c r="BK42" s="1"/>
  <c r="C42" s="1"/>
  <c r="C41"/>
  <c r="C7" i="3" s="1"/>
  <c r="BI43" i="4" l="1"/>
  <c r="BJ43" s="1"/>
  <c r="C43" s="1"/>
  <c r="C8" i="3" s="1"/>
  <c r="BI44" i="4"/>
  <c r="BI45" s="1"/>
  <c r="BJ45" s="1"/>
  <c r="C45" s="1"/>
  <c r="C11" i="3" s="1"/>
  <c r="C12"/>
  <c r="C9"/>
  <c r="C13" l="1"/>
  <c r="C14"/>
</calcChain>
</file>

<file path=xl/sharedStrings.xml><?xml version="1.0" encoding="utf-8"?>
<sst xmlns="http://schemas.openxmlformats.org/spreadsheetml/2006/main" count="743" uniqueCount="266">
  <si>
    <t>Пояснительная записка</t>
  </si>
  <si>
    <t>I этап</t>
  </si>
  <si>
    <t>Поэтому для снижения финансовых рисков приобретается либо берётся в аренду только технологическое оборудование и оперативный автотранспорт для сопровождения работ.</t>
  </si>
  <si>
    <t>II этап</t>
  </si>
  <si>
    <t>Компания, имея положительные результаты ОПИ, проходит аккредитацию и получает допуск  для работы со скважинами в нефтяных компаниях.</t>
  </si>
  <si>
    <t>Увеличивается количество бригад и создаётся филиал в Нижневартовске. Приобретаются дополнительные оперативные автомобили.</t>
  </si>
  <si>
    <t>Выкупается лизинговая техника, либо приобретаются базы под филиалы.</t>
  </si>
  <si>
    <t>Исходные данные для расчёта</t>
  </si>
  <si>
    <t>Параметры</t>
  </si>
  <si>
    <t>Разм-ть</t>
  </si>
  <si>
    <t>%</t>
  </si>
  <si>
    <t>Ставка дисконтирования</t>
  </si>
  <si>
    <t>Нормы амортизационных отчислений оборудования</t>
  </si>
  <si>
    <t>ед.</t>
  </si>
  <si>
    <t>Нормы амортизационных отчислений автомашин</t>
  </si>
  <si>
    <t>Стоимость обработки одной скважины (без НДС)</t>
  </si>
  <si>
    <t>руб.</t>
  </si>
  <si>
    <t>Среднегодовая стоимость сервисного обслуживания комплекта оборудования</t>
  </si>
  <si>
    <t>руб./год</t>
  </si>
  <si>
    <t>Стоимость аренды геофизической машины для обработки одной скважины</t>
  </si>
  <si>
    <t>Стоимость инжинирингового обслуживания обработки одной скважины</t>
  </si>
  <si>
    <t>Показатели инвестиционного анализа по проекту</t>
  </si>
  <si>
    <t>Значение</t>
  </si>
  <si>
    <t>Горизонт расчета проекта</t>
  </si>
  <si>
    <t>лет</t>
  </si>
  <si>
    <t>Объем вложенного капитала в проект (LDC)</t>
  </si>
  <si>
    <t>Объем выручки за период проекта (SP)</t>
  </si>
  <si>
    <t>Чистый средний операционных доход в год (NAOR)</t>
  </si>
  <si>
    <t>Чистая прибыль за период проекта</t>
  </si>
  <si>
    <t>Чистый доход (остаток денежных средств (NV))</t>
  </si>
  <si>
    <t>Средняя рентабельность за период проекта</t>
  </si>
  <si>
    <t>Ставка дисконтирования (DR)</t>
  </si>
  <si>
    <t>Чистый приведенный доход (NPV)</t>
  </si>
  <si>
    <t>Средняя норма рентабельности инвестиций (ARR)</t>
  </si>
  <si>
    <t>Рентабельность вложенного капитала (ROI)</t>
  </si>
  <si>
    <t>Индекс прибыльности (PI)</t>
  </si>
  <si>
    <t>ед.</t>
  </si>
  <si>
    <t>Внутренняя норма рентабельности (IRR)</t>
  </si>
  <si>
    <t>Срок окупаемости (PBP)</t>
  </si>
  <si>
    <t>мес.</t>
  </si>
  <si>
    <t>Дисконтированный срок окупаемости (DPBP)</t>
  </si>
  <si>
    <t>Расчет эффективности инвестиций в УЗО скважин и пластов</t>
  </si>
  <si>
    <t>Показатели</t>
  </si>
  <si>
    <t>Един. измер.</t>
  </si>
  <si>
    <t>Всего</t>
  </si>
  <si>
    <t>Всего за 2013</t>
  </si>
  <si>
    <t>Всего за 2014</t>
  </si>
  <si>
    <t>Всего за 2015</t>
  </si>
  <si>
    <t>Всего за 2016</t>
  </si>
  <si>
    <t>Натуральные показатели</t>
  </si>
  <si>
    <t>Количество обработанных скважин</t>
  </si>
  <si>
    <t>шт.</t>
  </si>
  <si>
    <t>Количество работающих полевых бригад</t>
  </si>
  <si>
    <t>Количество приобретаемых комплектов оборудования</t>
  </si>
  <si>
    <t>Количество приобретаемых оперативных автомобилей</t>
  </si>
  <si>
    <t>Количество приобретаемых геофизических подъёмников</t>
  </si>
  <si>
    <t>Количество скважин, обработанных арендованным ПКС</t>
  </si>
  <si>
    <t>Доходы от операционной деятельности</t>
  </si>
  <si>
    <t>Доход от обработки скважин</t>
  </si>
  <si>
    <t>ИТОГО ДОХОД (приток)</t>
  </si>
  <si>
    <t>Расходы от операционной деятельности</t>
  </si>
  <si>
    <t>Балансовая стоимость оборудования</t>
  </si>
  <si>
    <t>Остаточная стоимость ОС на начало периода</t>
  </si>
  <si>
    <t>Остаточная стоимость ОС на конец периода</t>
  </si>
  <si>
    <t>Амортизационные отчисления оборудования</t>
  </si>
  <si>
    <t>Балансовая стоимость автомобилей</t>
  </si>
  <si>
    <t>Амортизационные отчисления автомобилей</t>
  </si>
  <si>
    <t>Расходы на сервисное обслуживание приборов</t>
  </si>
  <si>
    <t>Расходы на аренду геофизического подъёмника</t>
  </si>
  <si>
    <t>Расходы на инжиниринговые услуги</t>
  </si>
  <si>
    <t>Транспортные расходы</t>
  </si>
  <si>
    <t>Зарплата персонала</t>
  </si>
  <si>
    <t>ЕСН</t>
  </si>
  <si>
    <t>Прочие затраты</t>
  </si>
  <si>
    <t>Инвестиционная деятельность</t>
  </si>
  <si>
    <t>Налог на имущество - 2,2%</t>
  </si>
  <si>
    <t>Приобретение оперативных автомобилей</t>
  </si>
  <si>
    <t>Лизинговые платежи за ПКС</t>
  </si>
  <si>
    <t>ИТОГО ЗАТРАТ (оттоки)</t>
  </si>
  <si>
    <t>Балансовая прибыль</t>
  </si>
  <si>
    <t>Чистая прибыль</t>
  </si>
  <si>
    <t>Поток реальных денег</t>
  </si>
  <si>
    <t>Чистый доход</t>
  </si>
  <si>
    <t>Поток реальных денег дисконтированный</t>
  </si>
  <si>
    <t>Чистый доход дисконтированный</t>
  </si>
  <si>
    <t>I этап АУП</t>
  </si>
  <si>
    <t>Должность</t>
  </si>
  <si>
    <t>Кол-во, чел</t>
  </si>
  <si>
    <t>Генеральный директор</t>
  </si>
  <si>
    <t>Исполнительный директор</t>
  </si>
  <si>
    <t>Главный бухгалтер</t>
  </si>
  <si>
    <t>Главный инженер</t>
  </si>
  <si>
    <t>Главный геолог</t>
  </si>
  <si>
    <t>Ведущий геолог</t>
  </si>
  <si>
    <t>Главный технолог</t>
  </si>
  <si>
    <t>Ведущий инженер-экономист</t>
  </si>
  <si>
    <t>Помощник руководителя</t>
  </si>
  <si>
    <t>Итого</t>
  </si>
  <si>
    <t>II этап АУП и обслуживание</t>
  </si>
  <si>
    <t>Директор филиала</t>
  </si>
  <si>
    <t>Бухгалтер</t>
  </si>
  <si>
    <t>Инженер по ОТ, ПБ и ООС</t>
  </si>
  <si>
    <t>Начальник производственной базы</t>
  </si>
  <si>
    <t>Слесарь по ремонту автомобилей</t>
  </si>
  <si>
    <t>Слесарь по ремонту оборудования</t>
  </si>
  <si>
    <t>Геофизическая партия</t>
  </si>
  <si>
    <t>Начальник геофизической партии</t>
  </si>
  <si>
    <t>Инженер-геофизик</t>
  </si>
  <si>
    <t>Машинист геофизического подъёмника</t>
  </si>
  <si>
    <t>Параметр</t>
  </si>
  <si>
    <t>Кол-во</t>
  </si>
  <si>
    <t>Статьи расходов</t>
  </si>
  <si>
    <t>Стоимость,
руб.</t>
  </si>
  <si>
    <t>Ед. изм.</t>
  </si>
  <si>
    <t>Всего расходов</t>
  </si>
  <si>
    <t>евро</t>
  </si>
  <si>
    <t>Приобретение оборудования</t>
  </si>
  <si>
    <t>Скважинный прибор Ø 42 мм.</t>
  </si>
  <si>
    <t>Ультразвуковой генератор</t>
  </si>
  <si>
    <t>Каротажный регистратор Югра</t>
  </si>
  <si>
    <t>Прибор геофизический  Сова</t>
  </si>
  <si>
    <t>Стабилизатор напряжения</t>
  </si>
  <si>
    <t>Эхолот</t>
  </si>
  <si>
    <t>Герметизирующее устройство</t>
  </si>
  <si>
    <t>Превентор</t>
  </si>
  <si>
    <t>Кабельный наконечник</t>
  </si>
  <si>
    <t>Всего</t>
  </si>
  <si>
    <t>Курс евро</t>
  </si>
  <si>
    <t>Виды платежей</t>
  </si>
  <si>
    <t>Мультиметр</t>
  </si>
  <si>
    <t>Мегаомметр</t>
  </si>
  <si>
    <t>Осциллограф</t>
  </si>
  <si>
    <t>Вольтметр электростатический</t>
  </si>
  <si>
    <t>Компьютеры</t>
  </si>
  <si>
    <t>МФУ (принтер, сканер, копир)</t>
  </si>
  <si>
    <t>Принтер цветной</t>
  </si>
  <si>
    <t>Хозяйственные принадлежности (лопаты, мётлы, пилы, топоры и т.п.)</t>
  </si>
  <si>
    <t>компл.</t>
  </si>
  <si>
    <t>Инструменты (ключи, паяльники и пр.)</t>
  </si>
  <si>
    <t>Итого за месяц</t>
  </si>
  <si>
    <t>-</t>
  </si>
  <si>
    <t>Аренда квартиры</t>
  </si>
  <si>
    <t>Командировки</t>
  </si>
  <si>
    <t>Телефон</t>
  </si>
  <si>
    <t>Аренда офиса и гаража</t>
  </si>
  <si>
    <t>Содержание офиса и гаража</t>
  </si>
  <si>
    <t>Рекламная продукция</t>
  </si>
  <si>
    <t>Расходные материалы</t>
  </si>
  <si>
    <t>Компл.</t>
  </si>
  <si>
    <t>Представительские расходы</t>
  </si>
  <si>
    <t>чел.</t>
  </si>
  <si>
    <t>Расходный материал</t>
  </si>
  <si>
    <t>Стоимость автомобилей (с НДС)</t>
  </si>
  <si>
    <t>Тип автомобиля</t>
  </si>
  <si>
    <t>Стоимость, руб.</t>
  </si>
  <si>
    <t>Оперативный автомобиль</t>
  </si>
  <si>
    <t>Подъёмник каротажный самоходный типа ПКС-5</t>
  </si>
  <si>
    <t>Транспортные расходы на оперативный автомобиль</t>
  </si>
  <si>
    <t>Расходы на ТО</t>
  </si>
  <si>
    <t>№ п/п</t>
  </si>
  <si>
    <t>Вид автотехники</t>
  </si>
  <si>
    <t>Кол-во ед., шт</t>
  </si>
  <si>
    <t>Среднемесячный пробег, км</t>
  </si>
  <si>
    <t>Периодичность ТО, км</t>
  </si>
  <si>
    <t>Стоимость ТО, руб.</t>
  </si>
  <si>
    <t>Расходы в месяц, руб.</t>
  </si>
  <si>
    <t>Chery Tiggo</t>
  </si>
  <si>
    <t>Налоги на АМ</t>
  </si>
  <si>
    <t>Годовой налог, руб.</t>
  </si>
  <si>
    <t>Расходы на ГСМ</t>
  </si>
  <si>
    <t>Ср. расст-е до скважины, км</t>
  </si>
  <si>
    <t>Расход топлива на 100 км, л</t>
  </si>
  <si>
    <t>Расход топлива на 1 рейс, л</t>
  </si>
  <si>
    <t>Время работы на скважине, час</t>
  </si>
  <si>
    <t>Расход топлива, л/час</t>
  </si>
  <si>
    <t>Расход топлива на операцию, л</t>
  </si>
  <si>
    <t>Всего расход топлива, л</t>
  </si>
  <si>
    <t>Стоимость топлива, л</t>
  </si>
  <si>
    <t>Расходы на СО, руб.</t>
  </si>
  <si>
    <t>Расходы на смазочные материалы (9% от расходов на топливо)</t>
  </si>
  <si>
    <t>Всего расходы на ГСМ на 1 СО</t>
  </si>
  <si>
    <t>Расходы на шины</t>
  </si>
  <si>
    <t>Кол-во колёс, шт.</t>
  </si>
  <si>
    <t>Ресурс колёс, км</t>
  </si>
  <si>
    <t>Средний пробег за СО, км</t>
  </si>
  <si>
    <t>Цена шины, руб.</t>
  </si>
  <si>
    <t>Расходы на шины, руб.</t>
  </si>
  <si>
    <t>Кол-во СО в месяц, шт</t>
  </si>
  <si>
    <t>ГСМ, руб.</t>
  </si>
  <si>
    <t>Шины, руб.</t>
  </si>
  <si>
    <t>Всего расходы на ГСМ и шины в месяц</t>
  </si>
  <si>
    <t>Итого на оперативный автомобиль в месяц, руб.</t>
  </si>
  <si>
    <t>Транспортные расходы на геофизический подъёмник</t>
  </si>
  <si>
    <t>ПКС-5</t>
  </si>
  <si>
    <t>Итого транспортные расходы на ПКС в месяц, руб.</t>
  </si>
  <si>
    <t>Исходные данные</t>
  </si>
  <si>
    <t>Размер-ность</t>
  </si>
  <si>
    <t>Балансовая стоимость ПКС</t>
  </si>
  <si>
    <t>Доля заёмных средств</t>
  </si>
  <si>
    <t>Размер лизингового кредита</t>
  </si>
  <si>
    <t>Ставка за используемый кредит</t>
  </si>
  <si>
    <t>Срок лизингового договора</t>
  </si>
  <si>
    <t>мес</t>
  </si>
  <si>
    <t>Ставка комиссионного вознаграждения</t>
  </si>
  <si>
    <t>Плата за дополнительные услуги</t>
  </si>
  <si>
    <t>Налог на добавленную стоимость</t>
  </si>
  <si>
    <t>Результаты расчёта</t>
  </si>
  <si>
    <t>Значение по месецам</t>
  </si>
  <si>
    <t>Среднемесячные выплаты</t>
  </si>
  <si>
    <t>Остаточная стоимость на начало месяца</t>
  </si>
  <si>
    <t>Остаточная стоимость на конец месяца</t>
  </si>
  <si>
    <t>Плата за используемые кредитные ресурсы</t>
  </si>
  <si>
    <t>Комиссионное вознаграждение</t>
  </si>
  <si>
    <t>Оплата налога на добавленную стоимость</t>
  </si>
  <si>
    <t>Сумма ежемесячных лизинговых платежей</t>
  </si>
  <si>
    <t>Общая сумма лизинговых платежей</t>
  </si>
  <si>
    <t>Относительное увеличение стоимости</t>
  </si>
  <si>
    <t>Среднемесячный лизинговый платёж</t>
  </si>
  <si>
    <t>Принтер ч/б</t>
  </si>
  <si>
    <t>Гидравлический двухкамерный лубрикатор</t>
  </si>
  <si>
    <t>Испытательный стенд</t>
  </si>
  <si>
    <t>комлп.</t>
  </si>
  <si>
    <t>Сборочный стенд</t>
  </si>
  <si>
    <t xml:space="preserve">Итого </t>
  </si>
  <si>
    <t>Переносные рации, телефоны</t>
  </si>
  <si>
    <t>Обеспечение персонала</t>
  </si>
  <si>
    <t>Потребности в финансировании</t>
  </si>
  <si>
    <t>Расходы на разработку оборудования</t>
  </si>
  <si>
    <t>Налог на прибыль- 15,0% и 24,0%</t>
  </si>
  <si>
    <t>ООО "ИЛМАСОНИК"</t>
  </si>
  <si>
    <t>ООО "ИЛМАСОНИК - Сервис"</t>
  </si>
  <si>
    <t>Главный конструктор</t>
  </si>
  <si>
    <t>Инеженр-электроник</t>
  </si>
  <si>
    <t>Инженер-электроник</t>
  </si>
  <si>
    <t>Слесарь-сборщик</t>
  </si>
  <si>
    <t>Мебель (столы, стулья, шкафы)</t>
  </si>
  <si>
    <t>Всего за 2017</t>
  </si>
  <si>
    <t>Расходы на офисы и гараж</t>
  </si>
  <si>
    <t>По согласованию с заказчиками (в первую очередь ТНК-ВР) для получения допуска к работам по повышению нефтеотдачи пластов необходимо пройти предквалификацию.</t>
  </si>
  <si>
    <t>Приобретение каротажных автомобилей на первом этапе нецелесообразно также по причине необходимости получения допуска к работе со скважинами для вновь созданной организации, что может потребовать 3,0-6,0 месяца.</t>
  </si>
  <si>
    <t xml:space="preserve">На данном этапе происходит вхождение в бизнес, формируется команда и отлаживается механизм взаимодействия с заказчиками и их подрядчиками по ПРС и КРС. 
</t>
  </si>
  <si>
    <t>Арендуются офис и гараж.</t>
  </si>
  <si>
    <t>В данном бизнес-плане рассматривается два этапа развития: первый этап - создание нефтесервисной компании и получение допуска к работам в нефтяных компаниях и начало работ, второй этап - создание филиала (филиалов) и начало полномасштабного предоставления услуг нефтяным компаниям по повышению нефтеотдачи пластов.</t>
  </si>
  <si>
    <t>Уже создана организация ООО "ИЛМАСОНИК", которая занимается разработкой ультразвукового оборудования и его изготовлением, а также его дальнейшим развитием.
Совместно с инвестором (партнёром) создаётся сервисная компания ООО "ИЛМАСОНИК - Сервис", которая будет непосредственно заниматься обработкой скважин.</t>
  </si>
  <si>
    <t>Итого  на 1-м этапе ИТР</t>
  </si>
  <si>
    <t>Токарь-оператор</t>
  </si>
  <si>
    <t>Итого  на 2-м этапе ИТР и рабочих</t>
  </si>
  <si>
    <t>Каротажные автомобили берутся в аренду у геофизической организации, которая имеет аккредитацию и допуск для работы со скважинами в соответствующей нефтяной компании.</t>
  </si>
  <si>
    <t xml:space="preserve">Этап наступает после проведения ОПИ и прохождения предквалификации. В данном случае это соответствует сроку - январь 2014 года. </t>
  </si>
  <si>
    <t>Приобретается дополнительное технологическое оборудование и каротажные подъёмники согласно графика. Каротажные подъёмники приобретаются по лизинговой схеме для снижения финансовой нагрузки.</t>
  </si>
  <si>
    <t>Дальнейшее развитие предполагается в направлении увеличения количества полевых бригад и создания филиалов в других регионах.</t>
  </si>
  <si>
    <t>Стоимость комплекта оборудования на один ПКС 
(одну полевую бригаду)</t>
  </si>
  <si>
    <t>Оснащение базы и офиса ИЛМАСОНИК-Сервис 
(разовая закупка)</t>
  </si>
  <si>
    <t>Оснащение производства и офиса ИЛМАСОНИК 
(разовая закупка)</t>
  </si>
  <si>
    <t>Пресс-форма с переферийным оборудованием</t>
  </si>
  <si>
    <t>Статьи ежемесячных расходов ИЛМАСОНИК-Сервис</t>
  </si>
  <si>
    <t>Статьи ежемесячных расходов ИЛМАСОНИК</t>
  </si>
  <si>
    <t>Аренда офиса и промпомещения</t>
  </si>
  <si>
    <t>Содержание офиса и промпомещения</t>
  </si>
  <si>
    <t>Проценты за использование инвестиций</t>
  </si>
  <si>
    <t>Статьи ежемесячных расходов ИЛМАСОНИК - Сервис</t>
  </si>
  <si>
    <t>Зарплата, руб.</t>
  </si>
  <si>
    <t>Всего, руб.</t>
  </si>
  <si>
    <t>Комплект спецодежды, шт.</t>
  </si>
  <si>
    <t>Обучение по ОТ, ПБ и ООС, чел.</t>
  </si>
  <si>
    <t>Канцелярские принадлежности (калькуляторы, ежедневники, канц. наборы и т.п.)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</si>
</sst>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mmmm\ yyyy;@"/>
    <numFmt numFmtId="166" formatCode="0.0%"/>
  </numFmts>
  <fonts count="322">
    <font>
      <sz val="10"/>
      <color rgb="FF000000"/>
      <name val="Arial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b/>
      <sz val="12"/>
      <color indexed="8"/>
      <name val="Arial cyr"/>
    </font>
    <font>
      <b/>
      <sz val="12"/>
      <color indexed="17"/>
      <name val="Arial cyr"/>
    </font>
    <font>
      <sz val="12"/>
      <color indexed="8"/>
      <name val="Arial cyr"/>
    </font>
    <font>
      <b/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b/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b/>
      <sz val="16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b/>
      <sz val="14"/>
      <color indexed="8"/>
      <name val="Arial cyr"/>
    </font>
    <font>
      <b/>
      <sz val="14"/>
      <color indexed="8"/>
      <name val="Arial cyr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8"/>
      <name val="Arial cy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Arial cyr"/>
    </font>
    <font>
      <b/>
      <sz val="12"/>
      <color indexed="56"/>
      <name val="Arial cyr"/>
    </font>
    <font>
      <sz val="10"/>
      <color indexed="8"/>
      <name val="Arial cyr"/>
    </font>
    <font>
      <b/>
      <sz val="12"/>
      <color indexed="8"/>
      <name val="Arial cy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2"/>
      <color indexed="8"/>
      <name val="Arial cyr"/>
    </font>
    <font>
      <sz val="10"/>
      <color indexed="8"/>
      <name val="Arial cyr"/>
    </font>
    <font>
      <i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6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b/>
      <sz val="12"/>
      <color indexed="8"/>
      <name val="Arial cyr"/>
    </font>
    <font>
      <sz val="10"/>
      <color indexed="8"/>
      <name val="Arial cy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1"/>
      <color indexed="8"/>
      <name val="Arial"/>
      <family val="2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23"/>
      <name val="Arial cyr"/>
    </font>
    <font>
      <b/>
      <sz val="10"/>
      <color indexed="8"/>
      <name val="Arial cyr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i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sz val="12"/>
      <color indexed="8"/>
      <name val="Arial cyr"/>
    </font>
    <font>
      <b/>
      <sz val="14"/>
      <color indexed="8"/>
      <name val="Arial cy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2"/>
      <color indexed="8"/>
      <name val="Times New Roman"/>
      <family val="1"/>
      <charset val="204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8"/>
      <name val="Arial cyr"/>
    </font>
    <font>
      <b/>
      <sz val="12"/>
      <color indexed="8"/>
      <name val="Arial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1"/>
      <color indexed="8"/>
      <name val="Arial cy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23"/>
      <name val="Arial cy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Arial cyr"/>
    </font>
    <font>
      <b/>
      <sz val="10"/>
      <color indexed="8"/>
      <name val="Arial cyr"/>
    </font>
    <font>
      <b/>
      <sz val="12"/>
      <color indexed="56"/>
      <name val="Arial cyr"/>
    </font>
    <font>
      <b/>
      <sz val="16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2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Times New Roman"/>
      <family val="1"/>
      <charset val="204"/>
    </font>
    <font>
      <b/>
      <sz val="12"/>
      <color indexed="12"/>
      <name val="Arial cyr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2"/>
      <color indexed="3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Times new roman cyr"/>
    </font>
    <font>
      <sz val="10"/>
      <color indexed="8"/>
      <name val="Arial cyr"/>
    </font>
    <font>
      <sz val="10"/>
      <color indexed="8"/>
      <name val="Arial cyr"/>
    </font>
    <font>
      <b/>
      <sz val="10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10"/>
      <color indexed="8"/>
      <name val="Arial cyr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23"/>
      <name val="Arial cyr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i/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b/>
      <sz val="14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2"/>
      <color indexed="8"/>
      <name val="Times New Roman"/>
      <family val="1"/>
      <charset val="204"/>
    </font>
    <font>
      <b/>
      <sz val="12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Arial cyr"/>
    </font>
    <font>
      <b/>
      <sz val="10"/>
      <color indexed="8"/>
      <name val="Arial cyr"/>
    </font>
    <font>
      <b/>
      <sz val="10"/>
      <color indexed="8"/>
      <name val="Arial cyr"/>
    </font>
    <font>
      <b/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b/>
      <sz val="11"/>
      <color indexed="8"/>
      <name val="Arial cyr"/>
    </font>
    <font>
      <sz val="10"/>
      <color indexed="8"/>
      <name val="Arial cyr"/>
    </font>
    <font>
      <b/>
      <sz val="14"/>
      <color indexed="8"/>
      <name val="Arial cyr"/>
    </font>
    <font>
      <b/>
      <sz val="10"/>
      <color indexed="8"/>
      <name val="Arial cyr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b/>
      <sz val="12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Arial cyr"/>
    </font>
    <font>
      <sz val="12"/>
      <color indexed="8"/>
      <name val="Arial cyr"/>
    </font>
    <font>
      <b/>
      <sz val="12"/>
      <color indexed="56"/>
      <name val="Arial cyr"/>
    </font>
    <font>
      <b/>
      <sz val="11"/>
      <color indexed="8"/>
      <name val="Arial cyr"/>
    </font>
    <font>
      <sz val="12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0"/>
      <color indexed="8"/>
      <name val="Arial cyr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2"/>
      <color indexed="30"/>
      <name val="Times New Roman"/>
      <family val="1"/>
      <charset val="204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b/>
      <sz val="12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b/>
      <sz val="16"/>
      <color indexed="8"/>
      <name val="Times New Roman"/>
      <family val="1"/>
      <charset val="204"/>
    </font>
    <font>
      <sz val="12"/>
      <color indexed="8"/>
      <name val="Arial cyr"/>
    </font>
    <font>
      <sz val="10"/>
      <color indexed="8"/>
      <name val="Arial cyr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Arial cyr"/>
    </font>
    <font>
      <b/>
      <sz val="12"/>
      <color indexed="8"/>
      <name val="Arial cyr"/>
    </font>
    <font>
      <sz val="12"/>
      <color indexed="8"/>
      <name val="Arial cyr"/>
    </font>
    <font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6"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/>
    <xf numFmtId="164" fontId="5" fillId="0" borderId="3" xfId="0" applyNumberFormat="1" applyFont="1" applyBorder="1"/>
    <xf numFmtId="0" fontId="6" fillId="0" borderId="4" xfId="0" applyFont="1" applyBorder="1"/>
    <xf numFmtId="0" fontId="7" fillId="0" borderId="5" xfId="0" applyFont="1" applyBorder="1"/>
    <xf numFmtId="164" fontId="8" fillId="0" borderId="6" xfId="0" applyNumberFormat="1" applyFont="1" applyBorder="1"/>
    <xf numFmtId="0" fontId="10" fillId="0" borderId="7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8" xfId="0" applyFont="1" applyBorder="1"/>
    <xf numFmtId="4" fontId="14" fillId="2" borderId="1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16" fillId="0" borderId="7" xfId="0" applyFont="1" applyBorder="1"/>
    <xf numFmtId="0" fontId="17" fillId="0" borderId="9" xfId="0" applyFont="1" applyBorder="1"/>
    <xf numFmtId="165" fontId="18" fillId="4" borderId="10" xfId="0" applyNumberFormat="1" applyFont="1" applyFill="1" applyBorder="1" applyAlignment="1">
      <alignment horizontal="center" wrapText="1"/>
    </xf>
    <xf numFmtId="0" fontId="19" fillId="0" borderId="11" xfId="0" applyFont="1" applyBorder="1"/>
    <xf numFmtId="164" fontId="20" fillId="0" borderId="0" xfId="0" applyNumberFormat="1" applyFont="1" applyAlignment="1">
      <alignment vertical="center"/>
    </xf>
    <xf numFmtId="0" fontId="21" fillId="0" borderId="0" xfId="0" applyFont="1"/>
    <xf numFmtId="164" fontId="22" fillId="3" borderId="2" xfId="0" applyNumberFormat="1" applyFont="1" applyFill="1" applyBorder="1" applyAlignment="1">
      <alignment horizontal="right" vertical="center"/>
    </xf>
    <xf numFmtId="0" fontId="23" fillId="0" borderId="12" xfId="0" applyFont="1" applyBorder="1"/>
    <xf numFmtId="0" fontId="24" fillId="5" borderId="2" xfId="0" applyFont="1" applyFill="1" applyBorder="1"/>
    <xf numFmtId="2" fontId="25" fillId="0" borderId="13" xfId="0" applyNumberFormat="1" applyFont="1" applyBorder="1" applyAlignment="1">
      <alignment horizontal="center" vertical="center" wrapText="1"/>
    </xf>
    <xf numFmtId="164" fontId="27" fillId="6" borderId="14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9" fontId="31" fillId="0" borderId="0" xfId="0" applyNumberFormat="1" applyFont="1"/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1" xfId="0" applyFont="1" applyBorder="1" applyAlignment="1">
      <alignment vertical="center"/>
    </xf>
    <xf numFmtId="43" fontId="36" fillId="0" borderId="3" xfId="0" applyNumberFormat="1" applyFont="1" applyBorder="1" applyAlignment="1">
      <alignment vertical="center"/>
    </xf>
    <xf numFmtId="0" fontId="42" fillId="4" borderId="15" xfId="0" applyFont="1" applyFill="1" applyBorder="1"/>
    <xf numFmtId="164" fontId="43" fillId="3" borderId="1" xfId="0" applyNumberFormat="1" applyFont="1" applyFill="1" applyBorder="1" applyAlignment="1">
      <alignment horizontal="right" vertical="center"/>
    </xf>
    <xf numFmtId="164" fontId="44" fillId="0" borderId="11" xfId="0" applyNumberFormat="1" applyFont="1" applyBorder="1" applyAlignment="1">
      <alignment vertical="center"/>
    </xf>
    <xf numFmtId="2" fontId="45" fillId="5" borderId="2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8" fillId="0" borderId="13" xfId="0" applyFont="1" applyBorder="1"/>
    <xf numFmtId="0" fontId="49" fillId="0" borderId="16" xfId="0" applyFont="1" applyBorder="1"/>
    <xf numFmtId="0" fontId="51" fillId="0" borderId="9" xfId="0" applyFont="1" applyBorder="1" applyAlignment="1">
      <alignment vertical="center"/>
    </xf>
    <xf numFmtId="164" fontId="53" fillId="0" borderId="1" xfId="0" applyNumberFormat="1" applyFont="1" applyBorder="1" applyAlignment="1">
      <alignment vertical="center"/>
    </xf>
    <xf numFmtId="2" fontId="54" fillId="0" borderId="9" xfId="0" applyNumberFormat="1" applyFont="1" applyBorder="1" applyAlignment="1">
      <alignment vertical="center"/>
    </xf>
    <xf numFmtId="2" fontId="55" fillId="0" borderId="13" xfId="0" applyNumberFormat="1" applyFont="1" applyBorder="1" applyAlignment="1">
      <alignment wrapText="1"/>
    </xf>
    <xf numFmtId="165" fontId="56" fillId="0" borderId="2" xfId="0" applyNumberFormat="1" applyFont="1" applyBorder="1" applyAlignment="1">
      <alignment horizontal="center" wrapText="1"/>
    </xf>
    <xf numFmtId="164" fontId="57" fillId="0" borderId="17" xfId="0" applyNumberFormat="1" applyFont="1" applyBorder="1" applyAlignment="1">
      <alignment horizontal="right" vertical="center"/>
    </xf>
    <xf numFmtId="4" fontId="59" fillId="0" borderId="0" xfId="0" applyNumberFormat="1" applyFont="1"/>
    <xf numFmtId="0" fontId="61" fillId="0" borderId="18" xfId="0" applyFont="1" applyBorder="1"/>
    <xf numFmtId="2" fontId="62" fillId="4" borderId="10" xfId="0" applyNumberFormat="1" applyFont="1" applyFill="1" applyBorder="1" applyAlignment="1">
      <alignment horizontal="center" wrapText="1"/>
    </xf>
    <xf numFmtId="43" fontId="63" fillId="0" borderId="0" xfId="0" applyNumberFormat="1" applyFont="1"/>
    <xf numFmtId="0" fontId="65" fillId="0" borderId="7" xfId="0" applyFont="1" applyBorder="1" applyAlignment="1">
      <alignment horizontal="center" vertical="center"/>
    </xf>
    <xf numFmtId="164" fontId="66" fillId="7" borderId="2" xfId="0" applyNumberFormat="1" applyFont="1" applyFill="1" applyBorder="1" applyAlignment="1">
      <alignment horizontal="right" vertical="center"/>
    </xf>
    <xf numFmtId="4" fontId="67" fillId="8" borderId="1" xfId="0" applyNumberFormat="1" applyFont="1" applyFill="1" applyBorder="1" applyAlignment="1">
      <alignment horizontal="right" vertical="center" wrapText="1"/>
    </xf>
    <xf numFmtId="0" fontId="68" fillId="0" borderId="16" xfId="0" applyFont="1" applyBorder="1" applyAlignment="1">
      <alignment vertical="center"/>
    </xf>
    <xf numFmtId="0" fontId="72" fillId="0" borderId="20" xfId="0" applyFont="1" applyBorder="1" applyAlignment="1">
      <alignment horizontal="left" vertical="center"/>
    </xf>
    <xf numFmtId="164" fontId="73" fillId="7" borderId="2" xfId="0" applyNumberFormat="1" applyFont="1" applyFill="1" applyBorder="1" applyAlignment="1">
      <alignment horizontal="right" vertical="center" wrapText="1"/>
    </xf>
    <xf numFmtId="0" fontId="74" fillId="0" borderId="21" xfId="0" applyFont="1" applyBorder="1" applyAlignment="1">
      <alignment horizontal="center"/>
    </xf>
    <xf numFmtId="164" fontId="75" fillId="0" borderId="1" xfId="0" applyNumberFormat="1" applyFont="1" applyBorder="1" applyAlignment="1">
      <alignment horizontal="right" vertical="center" wrapText="1"/>
    </xf>
    <xf numFmtId="164" fontId="76" fillId="0" borderId="1" xfId="0" applyNumberFormat="1" applyFont="1" applyBorder="1"/>
    <xf numFmtId="164" fontId="77" fillId="3" borderId="14" xfId="0" applyNumberFormat="1" applyFont="1" applyFill="1" applyBorder="1" applyAlignment="1">
      <alignment horizontal="right" vertical="center" wrapText="1"/>
    </xf>
    <xf numFmtId="0" fontId="78" fillId="0" borderId="1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21" xfId="0" applyFont="1" applyBorder="1"/>
    <xf numFmtId="4" fontId="81" fillId="0" borderId="1" xfId="0" applyNumberFormat="1" applyFont="1" applyBorder="1"/>
    <xf numFmtId="164" fontId="82" fillId="0" borderId="14" xfId="0" applyNumberFormat="1" applyFont="1" applyBorder="1"/>
    <xf numFmtId="4" fontId="83" fillId="0" borderId="16" xfId="0" applyNumberFormat="1" applyFont="1" applyBorder="1" applyAlignment="1">
      <alignment horizontal="right" vertical="center"/>
    </xf>
    <xf numFmtId="164" fontId="85" fillId="0" borderId="14" xfId="0" applyNumberFormat="1" applyFont="1" applyBorder="1" applyAlignment="1">
      <alignment horizontal="right" vertical="center" wrapText="1"/>
    </xf>
    <xf numFmtId="164" fontId="86" fillId="7" borderId="1" xfId="0" applyNumberFormat="1" applyFont="1" applyFill="1" applyBorder="1" applyAlignment="1">
      <alignment horizontal="right" vertical="center" wrapText="1"/>
    </xf>
    <xf numFmtId="2" fontId="87" fillId="0" borderId="1" xfId="0" applyNumberFormat="1" applyFont="1" applyBorder="1" applyAlignment="1">
      <alignment horizontal="right" vertical="center" wrapText="1"/>
    </xf>
    <xf numFmtId="164" fontId="89" fillId="0" borderId="7" xfId="0" applyNumberFormat="1" applyFont="1" applyBorder="1" applyAlignment="1">
      <alignment vertical="center"/>
    </xf>
    <xf numFmtId="1" fontId="90" fillId="0" borderId="1" xfId="0" applyNumberFormat="1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 wrapText="1"/>
    </xf>
    <xf numFmtId="164" fontId="93" fillId="0" borderId="14" xfId="0" applyNumberFormat="1" applyFont="1" applyBorder="1" applyAlignment="1">
      <alignment horizontal="right" vertical="center"/>
    </xf>
    <xf numFmtId="0" fontId="94" fillId="0" borderId="9" xfId="0" applyFont="1" applyBorder="1" applyAlignment="1">
      <alignment vertical="center"/>
    </xf>
    <xf numFmtId="0" fontId="95" fillId="7" borderId="1" xfId="0" applyFont="1" applyFill="1" applyBorder="1" applyAlignment="1">
      <alignment horizontal="left" vertical="center" wrapText="1"/>
    </xf>
    <xf numFmtId="2" fontId="96" fillId="0" borderId="0" xfId="0" applyNumberFormat="1" applyFont="1" applyAlignment="1">
      <alignment wrapText="1"/>
    </xf>
    <xf numFmtId="0" fontId="97" fillId="0" borderId="8" xfId="0" applyFont="1" applyBorder="1" applyAlignment="1">
      <alignment vertical="center"/>
    </xf>
    <xf numFmtId="164" fontId="98" fillId="4" borderId="10" xfId="0" applyNumberFormat="1" applyFont="1" applyFill="1" applyBorder="1" applyAlignment="1">
      <alignment horizontal="right" vertical="center"/>
    </xf>
    <xf numFmtId="0" fontId="99" fillId="0" borderId="8" xfId="0" applyFont="1" applyBorder="1" applyAlignment="1">
      <alignment horizontal="left" vertical="center"/>
    </xf>
    <xf numFmtId="2" fontId="100" fillId="0" borderId="22" xfId="0" applyNumberFormat="1" applyFont="1" applyBorder="1" applyAlignment="1">
      <alignment wrapText="1"/>
    </xf>
    <xf numFmtId="2" fontId="101" fillId="0" borderId="1" xfId="0" applyNumberFormat="1" applyFont="1" applyBorder="1" applyAlignment="1">
      <alignment horizontal="left" vertical="center" wrapText="1"/>
    </xf>
    <xf numFmtId="2" fontId="102" fillId="0" borderId="5" xfId="0" applyNumberFormat="1" applyFont="1" applyBorder="1" applyAlignment="1">
      <alignment horizontal="center" vertical="center" wrapText="1"/>
    </xf>
    <xf numFmtId="164" fontId="103" fillId="0" borderId="19" xfId="0" applyNumberFormat="1" applyFont="1" applyBorder="1" applyAlignment="1">
      <alignment horizontal="right" vertical="center"/>
    </xf>
    <xf numFmtId="0" fontId="105" fillId="0" borderId="1" xfId="0" applyFont="1" applyBorder="1" applyAlignment="1">
      <alignment horizontal="left" vertical="center"/>
    </xf>
    <xf numFmtId="164" fontId="106" fillId="0" borderId="9" xfId="0" applyNumberFormat="1" applyFont="1" applyBorder="1"/>
    <xf numFmtId="0" fontId="107" fillId="0" borderId="22" xfId="0" applyFont="1" applyBorder="1"/>
    <xf numFmtId="164" fontId="108" fillId="4" borderId="10" xfId="0" applyNumberFormat="1" applyFont="1" applyFill="1" applyBorder="1" applyAlignment="1">
      <alignment horizontal="right" vertical="center"/>
    </xf>
    <xf numFmtId="2" fontId="109" fillId="0" borderId="1" xfId="0" applyNumberFormat="1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11" fillId="0" borderId="11" xfId="0" applyFont="1" applyBorder="1" applyAlignment="1">
      <alignment vertical="center"/>
    </xf>
    <xf numFmtId="164" fontId="112" fillId="8" borderId="14" xfId="0" applyNumberFormat="1" applyFont="1" applyFill="1" applyBorder="1" applyAlignment="1">
      <alignment horizontal="right" vertical="center" wrapText="1"/>
    </xf>
    <xf numFmtId="2" fontId="113" fillId="4" borderId="10" xfId="0" applyNumberFormat="1" applyFont="1" applyFill="1" applyBorder="1"/>
    <xf numFmtId="0" fontId="116" fillId="0" borderId="0" xfId="0" applyFont="1"/>
    <xf numFmtId="0" fontId="118" fillId="4" borderId="10" xfId="0" applyFont="1" applyFill="1" applyBorder="1"/>
    <xf numFmtId="0" fontId="119" fillId="0" borderId="21" xfId="0" applyFont="1" applyBorder="1"/>
    <xf numFmtId="0" fontId="122" fillId="0" borderId="23" xfId="0" applyFont="1" applyBorder="1"/>
    <xf numFmtId="0" fontId="123" fillId="0" borderId="7" xfId="0" applyFont="1" applyBorder="1" applyAlignment="1">
      <alignment vertical="center"/>
    </xf>
    <xf numFmtId="2" fontId="124" fillId="0" borderId="8" xfId="0" applyNumberFormat="1" applyFont="1" applyBorder="1" applyAlignment="1">
      <alignment vertical="center"/>
    </xf>
    <xf numFmtId="0" fontId="125" fillId="0" borderId="24" xfId="0" applyFont="1" applyBorder="1" applyAlignment="1">
      <alignment horizontal="center" vertical="center"/>
    </xf>
    <xf numFmtId="164" fontId="127" fillId="0" borderId="1" xfId="0" applyNumberFormat="1" applyFont="1" applyBorder="1" applyAlignment="1">
      <alignment horizontal="right" vertical="center"/>
    </xf>
    <xf numFmtId="164" fontId="129" fillId="6" borderId="2" xfId="0" applyNumberFormat="1" applyFont="1" applyFill="1" applyBorder="1" applyAlignment="1">
      <alignment horizontal="right" vertical="center" wrapText="1"/>
    </xf>
    <xf numFmtId="0" fontId="130" fillId="0" borderId="1" xfId="0" applyFont="1" applyBorder="1" applyAlignment="1">
      <alignment horizontal="center"/>
    </xf>
    <xf numFmtId="0" fontId="131" fillId="0" borderId="1" xfId="0" applyFont="1" applyBorder="1" applyAlignment="1">
      <alignment wrapText="1"/>
    </xf>
    <xf numFmtId="0" fontId="132" fillId="4" borderId="10" xfId="0" applyFont="1" applyFill="1" applyBorder="1"/>
    <xf numFmtId="2" fontId="133" fillId="8" borderId="1" xfId="0" applyNumberFormat="1" applyFont="1" applyFill="1" applyBorder="1" applyAlignment="1">
      <alignment horizontal="left" vertical="center" wrapText="1"/>
    </xf>
    <xf numFmtId="0" fontId="134" fillId="0" borderId="5" xfId="0" applyFont="1" applyBorder="1" applyAlignment="1">
      <alignment horizontal="center" vertical="center" wrapText="1"/>
    </xf>
    <xf numFmtId="164" fontId="135" fillId="0" borderId="11" xfId="0" applyNumberFormat="1" applyFont="1" applyBorder="1"/>
    <xf numFmtId="164" fontId="136" fillId="0" borderId="7" xfId="0" applyNumberFormat="1" applyFont="1" applyBorder="1"/>
    <xf numFmtId="0" fontId="137" fillId="0" borderId="0" xfId="0" applyFont="1"/>
    <xf numFmtId="43" fontId="139" fillId="0" borderId="0" xfId="0" applyNumberFormat="1" applyFont="1"/>
    <xf numFmtId="2" fontId="140" fillId="0" borderId="1" xfId="0" applyNumberFormat="1" applyFont="1" applyBorder="1" applyAlignment="1">
      <alignment horizontal="left" vertical="center" wrapText="1"/>
    </xf>
    <xf numFmtId="2" fontId="141" fillId="4" borderId="10" xfId="0" applyNumberFormat="1" applyFont="1" applyFill="1" applyBorder="1" applyAlignment="1">
      <alignment wrapText="1"/>
    </xf>
    <xf numFmtId="0" fontId="142" fillId="0" borderId="0" xfId="0" applyFont="1" applyAlignment="1">
      <alignment horizontal="left" vertical="center"/>
    </xf>
    <xf numFmtId="0" fontId="143" fillId="0" borderId="13" xfId="0" applyFont="1" applyBorder="1"/>
    <xf numFmtId="1" fontId="144" fillId="0" borderId="14" xfId="0" applyNumberFormat="1" applyFont="1" applyBorder="1" applyAlignment="1">
      <alignment horizontal="center" vertical="center"/>
    </xf>
    <xf numFmtId="4" fontId="145" fillId="0" borderId="1" xfId="0" applyNumberFormat="1" applyFont="1" applyBorder="1" applyAlignment="1">
      <alignment horizontal="right" vertical="center" wrapText="1"/>
    </xf>
    <xf numFmtId="0" fontId="147" fillId="0" borderId="5" xfId="0" applyFont="1" applyBorder="1" applyAlignment="1">
      <alignment horizontal="center" vertical="center" wrapText="1"/>
    </xf>
    <xf numFmtId="164" fontId="148" fillId="0" borderId="13" xfId="0" applyNumberFormat="1" applyFont="1" applyBorder="1" applyAlignment="1">
      <alignment vertical="center"/>
    </xf>
    <xf numFmtId="0" fontId="149" fillId="0" borderId="23" xfId="0" applyFont="1" applyBorder="1"/>
    <xf numFmtId="0" fontId="150" fillId="0" borderId="8" xfId="0" applyFont="1" applyBorder="1" applyAlignment="1">
      <alignment vertical="center"/>
    </xf>
    <xf numFmtId="0" fontId="151" fillId="0" borderId="5" xfId="0" applyFont="1" applyBorder="1"/>
    <xf numFmtId="2" fontId="152" fillId="5" borderId="14" xfId="0" applyNumberFormat="1" applyFont="1" applyFill="1" applyBorder="1" applyAlignment="1">
      <alignment horizontal="center" wrapText="1"/>
    </xf>
    <xf numFmtId="10" fontId="153" fillId="0" borderId="1" xfId="0" applyNumberFormat="1" applyFont="1" applyBorder="1" applyAlignment="1">
      <alignment horizontal="right" vertical="center" wrapText="1"/>
    </xf>
    <xf numFmtId="165" fontId="154" fillId="0" borderId="14" xfId="0" applyNumberFormat="1" applyFont="1" applyBorder="1" applyAlignment="1">
      <alignment horizontal="center" wrapText="1"/>
    </xf>
    <xf numFmtId="164" fontId="156" fillId="0" borderId="1" xfId="0" applyNumberFormat="1" applyFont="1" applyBorder="1" applyAlignment="1">
      <alignment horizontal="right" vertical="center"/>
    </xf>
    <xf numFmtId="164" fontId="158" fillId="3" borderId="1" xfId="0" applyNumberFormat="1" applyFont="1" applyFill="1" applyBorder="1" applyAlignment="1">
      <alignment horizontal="right" vertical="center" wrapText="1"/>
    </xf>
    <xf numFmtId="0" fontId="159" fillId="0" borderId="21" xfId="0" applyFont="1" applyBorder="1" applyAlignment="1">
      <alignment horizontal="center" vertical="center" wrapText="1"/>
    </xf>
    <xf numFmtId="0" fontId="160" fillId="0" borderId="21" xfId="0" applyFont="1" applyBorder="1" applyAlignment="1">
      <alignment vertical="center"/>
    </xf>
    <xf numFmtId="43" fontId="161" fillId="0" borderId="0" xfId="0" applyNumberFormat="1" applyFont="1" applyAlignment="1">
      <alignment horizontal="right" vertical="center"/>
    </xf>
    <xf numFmtId="0" fontId="163" fillId="0" borderId="1" xfId="0" applyFont="1" applyBorder="1" applyAlignment="1">
      <alignment horizontal="center" vertical="center" wrapText="1"/>
    </xf>
    <xf numFmtId="2" fontId="164" fillId="8" borderId="1" xfId="0" applyNumberFormat="1" applyFont="1" applyFill="1" applyBorder="1" applyAlignment="1">
      <alignment horizontal="center" vertical="center" wrapText="1"/>
    </xf>
    <xf numFmtId="2" fontId="165" fillId="0" borderId="0" xfId="0" applyNumberFormat="1" applyFont="1" applyAlignment="1">
      <alignment horizontal="center" vertical="center" wrapText="1"/>
    </xf>
    <xf numFmtId="164" fontId="166" fillId="3" borderId="1" xfId="0" applyNumberFormat="1" applyFont="1" applyFill="1" applyBorder="1" applyAlignment="1">
      <alignment horizontal="right" vertical="center" wrapText="1"/>
    </xf>
    <xf numFmtId="0" fontId="167" fillId="0" borderId="25" xfId="0" applyFont="1" applyBorder="1"/>
    <xf numFmtId="0" fontId="168" fillId="0" borderId="0" xfId="0" applyFont="1" applyAlignment="1">
      <alignment horizontal="center" vertical="center"/>
    </xf>
    <xf numFmtId="4" fontId="169" fillId="0" borderId="1" xfId="0" applyNumberFormat="1" applyFont="1" applyBorder="1" applyAlignment="1">
      <alignment horizontal="center" vertical="center"/>
    </xf>
    <xf numFmtId="164" fontId="170" fillId="0" borderId="3" xfId="0" applyNumberFormat="1" applyFont="1" applyBorder="1"/>
    <xf numFmtId="0" fontId="172" fillId="0" borderId="5" xfId="0" applyFont="1" applyBorder="1"/>
    <xf numFmtId="0" fontId="173" fillId="8" borderId="1" xfId="0" applyFont="1" applyFill="1" applyBorder="1" applyAlignment="1">
      <alignment horizontal="left" vertical="center" wrapText="1"/>
    </xf>
    <xf numFmtId="164" fontId="174" fillId="0" borderId="9" xfId="0" applyNumberFormat="1" applyFont="1" applyBorder="1" applyAlignment="1">
      <alignment horizontal="right" vertical="center"/>
    </xf>
    <xf numFmtId="0" fontId="176" fillId="0" borderId="8" xfId="0" applyFont="1" applyBorder="1"/>
    <xf numFmtId="164" fontId="177" fillId="0" borderId="2" xfId="0" applyNumberFormat="1" applyFont="1" applyBorder="1" applyAlignment="1">
      <alignment horizontal="right" vertical="center" wrapText="1"/>
    </xf>
    <xf numFmtId="0" fontId="178" fillId="0" borderId="11" xfId="0" applyFont="1" applyBorder="1" applyAlignment="1">
      <alignment horizontal="center" vertical="center"/>
    </xf>
    <xf numFmtId="164" fontId="179" fillId="0" borderId="16" xfId="0" applyNumberFormat="1" applyFont="1" applyBorder="1" applyAlignment="1">
      <alignment horizontal="right" vertical="center"/>
    </xf>
    <xf numFmtId="2" fontId="180" fillId="0" borderId="0" xfId="0" applyNumberFormat="1" applyFont="1" applyAlignment="1">
      <alignment vertical="center"/>
    </xf>
    <xf numFmtId="0" fontId="181" fillId="5" borderId="16" xfId="0" applyFont="1" applyFill="1" applyBorder="1" applyAlignment="1">
      <alignment horizontal="center"/>
    </xf>
    <xf numFmtId="2" fontId="183" fillId="0" borderId="12" xfId="0" applyNumberFormat="1" applyFont="1" applyBorder="1" applyAlignment="1">
      <alignment wrapText="1"/>
    </xf>
    <xf numFmtId="0" fontId="184" fillId="0" borderId="8" xfId="0" applyFont="1" applyBorder="1"/>
    <xf numFmtId="0" fontId="185" fillId="0" borderId="9" xfId="0" applyFont="1" applyBorder="1" applyAlignment="1">
      <alignment horizontal="right"/>
    </xf>
    <xf numFmtId="164" fontId="187" fillId="0" borderId="1" xfId="0" applyNumberFormat="1" applyFont="1" applyBorder="1" applyAlignment="1">
      <alignment vertical="center"/>
    </xf>
    <xf numFmtId="164" fontId="189" fillId="0" borderId="13" xfId="0" applyNumberFormat="1" applyFont="1" applyBorder="1" applyAlignment="1">
      <alignment horizontal="right" vertical="center"/>
    </xf>
    <xf numFmtId="2" fontId="190" fillId="0" borderId="18" xfId="0" applyNumberFormat="1" applyFont="1" applyBorder="1" applyAlignment="1">
      <alignment wrapText="1"/>
    </xf>
    <xf numFmtId="0" fontId="191" fillId="5" borderId="1" xfId="0" applyFont="1" applyFill="1" applyBorder="1" applyAlignment="1">
      <alignment horizontal="left" vertical="center" wrapText="1"/>
    </xf>
    <xf numFmtId="0" fontId="192" fillId="0" borderId="17" xfId="0" applyFont="1" applyBorder="1"/>
    <xf numFmtId="164" fontId="193" fillId="0" borderId="27" xfId="0" applyNumberFormat="1" applyFont="1" applyBorder="1" applyAlignment="1">
      <alignment vertical="center"/>
    </xf>
    <xf numFmtId="0" fontId="194" fillId="0" borderId="1" xfId="0" applyFont="1" applyBorder="1" applyAlignment="1">
      <alignment horizontal="left" vertical="center" wrapText="1"/>
    </xf>
    <xf numFmtId="164" fontId="195" fillId="4" borderId="10" xfId="0" applyNumberFormat="1" applyFont="1" applyFill="1" applyBorder="1" applyAlignment="1">
      <alignment horizontal="right" vertical="center" wrapText="1"/>
    </xf>
    <xf numFmtId="164" fontId="196" fillId="2" borderId="1" xfId="0" applyNumberFormat="1" applyFont="1" applyFill="1" applyBorder="1" applyAlignment="1">
      <alignment vertical="center"/>
    </xf>
    <xf numFmtId="166" fontId="197" fillId="0" borderId="16" xfId="0" applyNumberFormat="1" applyFont="1" applyBorder="1" applyAlignment="1">
      <alignment horizontal="right" vertical="center"/>
    </xf>
    <xf numFmtId="164" fontId="198" fillId="0" borderId="1" xfId="0" applyNumberFormat="1" applyFont="1" applyBorder="1" applyAlignment="1">
      <alignment horizontal="right" vertical="center"/>
    </xf>
    <xf numFmtId="43" fontId="199" fillId="0" borderId="8" xfId="0" applyNumberFormat="1" applyFont="1" applyBorder="1" applyAlignment="1">
      <alignment vertical="center"/>
    </xf>
    <xf numFmtId="164" fontId="200" fillId="0" borderId="1" xfId="0" applyNumberFormat="1" applyFont="1" applyBorder="1" applyAlignment="1">
      <alignment horizontal="right" vertical="center"/>
    </xf>
    <xf numFmtId="165" fontId="201" fillId="0" borderId="1" xfId="0" applyNumberFormat="1" applyFont="1" applyBorder="1" applyAlignment="1">
      <alignment horizontal="center" wrapText="1"/>
    </xf>
    <xf numFmtId="2" fontId="202" fillId="0" borderId="0" xfId="0" applyNumberFormat="1" applyFont="1" applyAlignment="1">
      <alignment wrapText="1"/>
    </xf>
    <xf numFmtId="0" fontId="203" fillId="0" borderId="2" xfId="0" applyFont="1" applyBorder="1"/>
    <xf numFmtId="2" fontId="204" fillId="6" borderId="1" xfId="0" applyNumberFormat="1" applyFont="1" applyFill="1" applyBorder="1" applyAlignment="1">
      <alignment horizontal="center" vertical="center" wrapText="1"/>
    </xf>
    <xf numFmtId="0" fontId="205" fillId="0" borderId="1" xfId="0" applyFont="1" applyBorder="1"/>
    <xf numFmtId="0" fontId="206" fillId="4" borderId="10" xfId="0" applyFont="1" applyFill="1" applyBorder="1"/>
    <xf numFmtId="0" fontId="207" fillId="0" borderId="23" xfId="0" applyFont="1" applyBorder="1" applyAlignment="1">
      <alignment vertical="center"/>
    </xf>
    <xf numFmtId="0" fontId="210" fillId="8" borderId="1" xfId="0" applyFont="1" applyFill="1" applyBorder="1" applyAlignment="1">
      <alignment horizontal="left" vertical="center" wrapText="1"/>
    </xf>
    <xf numFmtId="164" fontId="211" fillId="0" borderId="0" xfId="0" applyNumberFormat="1" applyFont="1"/>
    <xf numFmtId="2" fontId="212" fillId="0" borderId="1" xfId="0" applyNumberFormat="1" applyFont="1" applyBorder="1" applyAlignment="1">
      <alignment horizontal="center" vertical="center" wrapText="1"/>
    </xf>
    <xf numFmtId="0" fontId="213" fillId="0" borderId="2" xfId="0" applyFont="1" applyBorder="1"/>
    <xf numFmtId="4" fontId="214" fillId="0" borderId="9" xfId="0" applyNumberFormat="1" applyFont="1" applyBorder="1"/>
    <xf numFmtId="0" fontId="216" fillId="0" borderId="19" xfId="0" applyFont="1" applyBorder="1"/>
    <xf numFmtId="0" fontId="219" fillId="0" borderId="8" xfId="0" applyFont="1" applyBorder="1" applyAlignment="1">
      <alignment horizontal="center" vertical="center"/>
    </xf>
    <xf numFmtId="0" fontId="220" fillId="5" borderId="1" xfId="0" applyFont="1" applyFill="1" applyBorder="1"/>
    <xf numFmtId="0" fontId="221" fillId="0" borderId="0" xfId="0" applyFont="1" applyAlignment="1">
      <alignment horizontal="left" vertical="center" wrapText="1"/>
    </xf>
    <xf numFmtId="0" fontId="222" fillId="0" borderId="1" xfId="0" applyFont="1" applyBorder="1" applyAlignment="1">
      <alignment horizontal="center" vertical="center" wrapText="1"/>
    </xf>
    <xf numFmtId="164" fontId="224" fillId="8" borderId="1" xfId="0" applyNumberFormat="1" applyFont="1" applyFill="1" applyBorder="1" applyAlignment="1">
      <alignment horizontal="right" vertical="center" wrapText="1"/>
    </xf>
    <xf numFmtId="0" fontId="225" fillId="0" borderId="1" xfId="0" applyFont="1" applyBorder="1" applyAlignment="1">
      <alignment horizontal="right"/>
    </xf>
    <xf numFmtId="0" fontId="226" fillId="0" borderId="1" xfId="0" applyFont="1" applyBorder="1" applyAlignment="1">
      <alignment horizontal="left" vertical="center" wrapText="1"/>
    </xf>
    <xf numFmtId="0" fontId="227" fillId="0" borderId="8" xfId="0" applyFont="1" applyBorder="1" applyAlignment="1">
      <alignment vertical="center"/>
    </xf>
    <xf numFmtId="164" fontId="228" fillId="0" borderId="14" xfId="0" applyNumberFormat="1" applyFont="1" applyBorder="1" applyAlignment="1">
      <alignment vertical="center"/>
    </xf>
    <xf numFmtId="0" fontId="230" fillId="0" borderId="21" xfId="0" applyFont="1" applyBorder="1"/>
    <xf numFmtId="0" fontId="232" fillId="2" borderId="1" xfId="0" applyFont="1" applyFill="1" applyBorder="1"/>
    <xf numFmtId="0" fontId="233" fillId="0" borderId="0" xfId="0" applyFont="1"/>
    <xf numFmtId="164" fontId="234" fillId="8" borderId="2" xfId="0" applyNumberFormat="1" applyFont="1" applyFill="1" applyBorder="1" applyAlignment="1">
      <alignment horizontal="right" vertical="center" wrapText="1"/>
    </xf>
    <xf numFmtId="0" fontId="235" fillId="0" borderId="8" xfId="0" applyFont="1" applyBorder="1" applyAlignment="1">
      <alignment vertical="center"/>
    </xf>
    <xf numFmtId="164" fontId="236" fillId="0" borderId="7" xfId="0" applyNumberFormat="1" applyFont="1" applyBorder="1"/>
    <xf numFmtId="0" fontId="237" fillId="0" borderId="1" xfId="0" applyFont="1" applyBorder="1" applyAlignment="1">
      <alignment horizontal="center"/>
    </xf>
    <xf numFmtId="0" fontId="238" fillId="0" borderId="1" xfId="0" applyFont="1" applyBorder="1" applyAlignment="1">
      <alignment horizontal="right"/>
    </xf>
    <xf numFmtId="0" fontId="239" fillId="0" borderId="21" xfId="0" applyFont="1" applyBorder="1" applyAlignment="1">
      <alignment horizontal="center" vertical="center"/>
    </xf>
    <xf numFmtId="164" fontId="240" fillId="0" borderId="2" xfId="0" applyNumberFormat="1" applyFont="1" applyBorder="1" applyAlignment="1">
      <alignment horizontal="right" vertical="center"/>
    </xf>
    <xf numFmtId="164" fontId="241" fillId="0" borderId="5" xfId="0" applyNumberFormat="1" applyFont="1" applyBorder="1"/>
    <xf numFmtId="2" fontId="242" fillId="0" borderId="0" xfId="0" applyNumberFormat="1" applyFont="1" applyAlignment="1">
      <alignment vertical="center"/>
    </xf>
    <xf numFmtId="0" fontId="243" fillId="0" borderId="0" xfId="0" applyFont="1"/>
    <xf numFmtId="0" fontId="244" fillId="0" borderId="0" xfId="0" applyFont="1"/>
    <xf numFmtId="164" fontId="245" fillId="0" borderId="14" xfId="0" applyNumberFormat="1" applyFont="1" applyBorder="1" applyAlignment="1">
      <alignment horizontal="right" vertical="center"/>
    </xf>
    <xf numFmtId="166" fontId="247" fillId="0" borderId="14" xfId="0" applyNumberFormat="1" applyFont="1" applyBorder="1"/>
    <xf numFmtId="0" fontId="248" fillId="0" borderId="0" xfId="0" applyFont="1" applyAlignment="1">
      <alignment horizontal="left" vertical="center"/>
    </xf>
    <xf numFmtId="164" fontId="249" fillId="0" borderId="4" xfId="0" applyNumberFormat="1" applyFont="1" applyBorder="1"/>
    <xf numFmtId="0" fontId="250" fillId="0" borderId="8" xfId="0" applyFont="1" applyBorder="1"/>
    <xf numFmtId="0" fontId="251" fillId="0" borderId="7" xfId="0" applyFont="1" applyBorder="1"/>
    <xf numFmtId="0" fontId="253" fillId="0" borderId="26" xfId="0" applyFont="1" applyBorder="1" applyAlignment="1">
      <alignment horizontal="center" vertical="center"/>
    </xf>
    <xf numFmtId="164" fontId="254" fillId="7" borderId="1" xfId="0" applyNumberFormat="1" applyFont="1" applyFill="1" applyBorder="1" applyAlignment="1">
      <alignment horizontal="right" vertical="center"/>
    </xf>
    <xf numFmtId="2" fontId="255" fillId="7" borderId="1" xfId="0" applyNumberFormat="1" applyFont="1" applyFill="1" applyBorder="1" applyAlignment="1">
      <alignment horizontal="center" wrapText="1"/>
    </xf>
    <xf numFmtId="0" fontId="256" fillId="0" borderId="2" xfId="0" applyFont="1" applyBorder="1" applyAlignment="1">
      <alignment horizontal="center" vertical="center"/>
    </xf>
    <xf numFmtId="2" fontId="257" fillId="3" borderId="1" xfId="0" applyNumberFormat="1" applyFont="1" applyFill="1" applyBorder="1" applyAlignment="1">
      <alignment horizontal="center" vertical="center" wrapText="1"/>
    </xf>
    <xf numFmtId="2" fontId="259" fillId="0" borderId="0" xfId="0" applyNumberFormat="1" applyFont="1" applyAlignment="1">
      <alignment horizontal="left" vertical="center" wrapText="1"/>
    </xf>
    <xf numFmtId="164" fontId="260" fillId="4" borderId="10" xfId="0" applyNumberFormat="1" applyFont="1" applyFill="1" applyBorder="1" applyAlignment="1">
      <alignment horizontal="right" vertical="center" wrapText="1"/>
    </xf>
    <xf numFmtId="164" fontId="261" fillId="7" borderId="14" xfId="0" applyNumberFormat="1" applyFont="1" applyFill="1" applyBorder="1" applyAlignment="1">
      <alignment horizontal="right" vertical="center" wrapText="1"/>
    </xf>
    <xf numFmtId="0" fontId="262" fillId="0" borderId="28" xfId="0" applyFont="1" applyBorder="1"/>
    <xf numFmtId="43" fontId="265" fillId="0" borderId="0" xfId="0" applyNumberFormat="1" applyFont="1"/>
    <xf numFmtId="0" fontId="266" fillId="0" borderId="6" xfId="0" applyFont="1" applyBorder="1" applyAlignment="1">
      <alignment horizontal="center" vertical="center" wrapText="1"/>
    </xf>
    <xf numFmtId="4" fontId="267" fillId="0" borderId="1" xfId="0" applyNumberFormat="1" applyFont="1" applyBorder="1"/>
    <xf numFmtId="0" fontId="268" fillId="0" borderId="1" xfId="0" applyFont="1" applyBorder="1" applyAlignment="1">
      <alignment horizontal="right" vertical="center"/>
    </xf>
    <xf numFmtId="0" fontId="269" fillId="0" borderId="4" xfId="0" applyFont="1" applyBorder="1"/>
    <xf numFmtId="0" fontId="270" fillId="0" borderId="25" xfId="0" applyFont="1" applyBorder="1"/>
    <xf numFmtId="0" fontId="272" fillId="0" borderId="11" xfId="0" applyFont="1" applyBorder="1" applyAlignment="1">
      <alignment horizontal="center" vertical="center" wrapText="1"/>
    </xf>
    <xf numFmtId="0" fontId="273" fillId="0" borderId="21" xfId="0" applyFont="1" applyBorder="1" applyAlignment="1">
      <alignment horizontal="center" vertical="center" wrapText="1"/>
    </xf>
    <xf numFmtId="0" fontId="276" fillId="0" borderId="1" xfId="0" applyFont="1" applyBorder="1" applyAlignment="1">
      <alignment horizontal="left" vertical="center" wrapText="1"/>
    </xf>
    <xf numFmtId="0" fontId="277" fillId="4" borderId="10" xfId="0" applyFont="1" applyFill="1" applyBorder="1"/>
    <xf numFmtId="2" fontId="278" fillId="4" borderId="1" xfId="0" applyNumberFormat="1" applyFont="1" applyFill="1" applyBorder="1" applyAlignment="1">
      <alignment horizontal="center" vertical="center" wrapText="1"/>
    </xf>
    <xf numFmtId="164" fontId="279" fillId="3" borderId="1" xfId="0" applyNumberFormat="1" applyFont="1" applyFill="1" applyBorder="1" applyAlignment="1">
      <alignment horizontal="right" vertical="center"/>
    </xf>
    <xf numFmtId="0" fontId="281" fillId="0" borderId="29" xfId="0" applyFont="1" applyBorder="1" applyAlignment="1">
      <alignment horizontal="center" vertical="center"/>
    </xf>
    <xf numFmtId="0" fontId="282" fillId="5" borderId="16" xfId="0" applyFont="1" applyFill="1" applyBorder="1" applyAlignment="1">
      <alignment horizontal="center" vertical="center"/>
    </xf>
    <xf numFmtId="164" fontId="283" fillId="0" borderId="1" xfId="0" applyNumberFormat="1" applyFont="1" applyBorder="1" applyAlignment="1">
      <alignment vertical="center"/>
    </xf>
    <xf numFmtId="0" fontId="284" fillId="0" borderId="5" xfId="0" applyFont="1" applyBorder="1" applyAlignment="1">
      <alignment wrapText="1"/>
    </xf>
    <xf numFmtId="0" fontId="285" fillId="0" borderId="23" xfId="0" applyFont="1" applyBorder="1" applyAlignment="1">
      <alignment vertical="center"/>
    </xf>
    <xf numFmtId="4" fontId="286" fillId="0" borderId="3" xfId="0" applyNumberFormat="1" applyFont="1" applyBorder="1"/>
    <xf numFmtId="2" fontId="289" fillId="0" borderId="1" xfId="0" applyNumberFormat="1" applyFont="1" applyBorder="1" applyAlignment="1">
      <alignment vertical="center"/>
    </xf>
    <xf numFmtId="0" fontId="290" fillId="0" borderId="1" xfId="0" applyFont="1" applyBorder="1" applyAlignment="1">
      <alignment horizontal="center" vertical="center"/>
    </xf>
    <xf numFmtId="0" fontId="291" fillId="0" borderId="0" xfId="0" applyFont="1" applyAlignment="1">
      <alignment vertical="center"/>
    </xf>
    <xf numFmtId="0" fontId="293" fillId="0" borderId="0" xfId="0" applyFont="1" applyAlignment="1">
      <alignment horizontal="right" vertical="center"/>
    </xf>
    <xf numFmtId="164" fontId="294" fillId="0" borderId="14" xfId="0" applyNumberFormat="1" applyFont="1" applyBorder="1" applyAlignment="1">
      <alignment horizontal="right" vertical="center"/>
    </xf>
    <xf numFmtId="164" fontId="297" fillId="2" borderId="1" xfId="0" applyNumberFormat="1" applyFont="1" applyFill="1" applyBorder="1"/>
    <xf numFmtId="0" fontId="299" fillId="0" borderId="20" xfId="0" applyFont="1" applyBorder="1"/>
    <xf numFmtId="0" fontId="300" fillId="0" borderId="23" xfId="0" applyFont="1" applyBorder="1"/>
    <xf numFmtId="2" fontId="301" fillId="5" borderId="1" xfId="0" applyNumberFormat="1" applyFont="1" applyFill="1" applyBorder="1" applyAlignment="1">
      <alignment horizontal="center" wrapText="1"/>
    </xf>
    <xf numFmtId="0" fontId="302" fillId="0" borderId="1" xfId="0" applyFont="1" applyBorder="1"/>
    <xf numFmtId="0" fontId="303" fillId="0" borderId="15" xfId="0" applyFont="1" applyBorder="1" applyAlignment="1">
      <alignment horizontal="center" vertical="center" wrapText="1"/>
    </xf>
    <xf numFmtId="0" fontId="306" fillId="2" borderId="1" xfId="0" applyFont="1" applyFill="1" applyBorder="1" applyAlignment="1">
      <alignment vertical="center"/>
    </xf>
    <xf numFmtId="0" fontId="307" fillId="3" borderId="1" xfId="0" applyFont="1" applyFill="1" applyBorder="1"/>
    <xf numFmtId="164" fontId="308" fillId="0" borderId="0" xfId="0" applyNumberFormat="1" applyFont="1" applyAlignment="1">
      <alignment horizontal="right" vertical="center"/>
    </xf>
    <xf numFmtId="0" fontId="310" fillId="0" borderId="1" xfId="0" applyFont="1" applyBorder="1"/>
    <xf numFmtId="164" fontId="311" fillId="3" borderId="2" xfId="0" applyNumberFormat="1" applyFont="1" applyFill="1" applyBorder="1" applyAlignment="1">
      <alignment horizontal="right" vertical="center" wrapText="1"/>
    </xf>
    <xf numFmtId="164" fontId="312" fillId="4" borderId="10" xfId="0" applyNumberFormat="1" applyFont="1" applyFill="1" applyBorder="1"/>
    <xf numFmtId="0" fontId="313" fillId="3" borderId="1" xfId="0" applyFont="1" applyFill="1" applyBorder="1" applyAlignment="1">
      <alignment horizontal="left" vertical="center" wrapText="1"/>
    </xf>
    <xf numFmtId="164" fontId="314" fillId="6" borderId="1" xfId="0" applyNumberFormat="1" applyFont="1" applyFill="1" applyBorder="1" applyAlignment="1">
      <alignment horizontal="right" vertical="center" wrapText="1"/>
    </xf>
    <xf numFmtId="0" fontId="315" fillId="0" borderId="2" xfId="0" applyFont="1" applyBorder="1"/>
    <xf numFmtId="164" fontId="316" fillId="0" borderId="27" xfId="0" applyNumberFormat="1" applyFont="1" applyBorder="1"/>
    <xf numFmtId="2" fontId="317" fillId="0" borderId="0" xfId="0" applyNumberFormat="1" applyFont="1"/>
    <xf numFmtId="0" fontId="143" fillId="0" borderId="0" xfId="0" applyFont="1" applyBorder="1"/>
    <xf numFmtId="164" fontId="76" fillId="0" borderId="14" xfId="0" applyNumberFormat="1" applyFont="1" applyBorder="1"/>
    <xf numFmtId="0" fontId="149" fillId="0" borderId="36" xfId="0" applyFont="1" applyBorder="1"/>
    <xf numFmtId="0" fontId="251" fillId="0" borderId="31" xfId="0" applyFont="1" applyBorder="1"/>
    <xf numFmtId="164" fontId="263" fillId="2" borderId="31" xfId="0" applyNumberFormat="1" applyFont="1" applyFill="1" applyBorder="1"/>
    <xf numFmtId="164" fontId="76" fillId="0" borderId="37" xfId="0" applyNumberFormat="1" applyFont="1" applyBorder="1"/>
    <xf numFmtId="0" fontId="310" fillId="9" borderId="1" xfId="0" applyFont="1" applyFill="1" applyBorder="1"/>
    <xf numFmtId="164" fontId="198" fillId="9" borderId="1" xfId="0" applyNumberFormat="1" applyFont="1" applyFill="1" applyBorder="1" applyAlignment="1">
      <alignment horizontal="right" vertical="center"/>
    </xf>
    <xf numFmtId="0" fontId="268" fillId="9" borderId="1" xfId="0" applyFont="1" applyFill="1" applyBorder="1" applyAlignment="1">
      <alignment horizontal="right" vertical="center"/>
    </xf>
    <xf numFmtId="0" fontId="130" fillId="9" borderId="1" xfId="0" applyFont="1" applyFill="1" applyBorder="1" applyAlignment="1">
      <alignment horizontal="center"/>
    </xf>
    <xf numFmtId="0" fontId="225" fillId="9" borderId="1" xfId="0" applyFont="1" applyFill="1" applyBorder="1" applyAlignment="1">
      <alignment horizontal="right"/>
    </xf>
    <xf numFmtId="0" fontId="130" fillId="9" borderId="1" xfId="0" applyFont="1" applyFill="1" applyBorder="1" applyAlignment="1">
      <alignment horizontal="center" vertical="center"/>
    </xf>
    <xf numFmtId="0" fontId="225" fillId="9" borderId="1" xfId="0" applyFont="1" applyFill="1" applyBorder="1" applyAlignment="1">
      <alignment horizontal="right" vertical="center"/>
    </xf>
    <xf numFmtId="0" fontId="131" fillId="9" borderId="1" xfId="0" applyFont="1" applyFill="1" applyBorder="1" applyAlignment="1">
      <alignment wrapText="1"/>
    </xf>
    <xf numFmtId="2" fontId="92" fillId="8" borderId="31" xfId="0" applyNumberFormat="1" applyFont="1" applyFill="1" applyBorder="1" applyAlignment="1">
      <alignment horizontal="left" vertical="center" wrapText="1"/>
    </xf>
    <xf numFmtId="2" fontId="164" fillId="8" borderId="31" xfId="0" applyNumberFormat="1" applyFont="1" applyFill="1" applyBorder="1" applyAlignment="1">
      <alignment horizontal="center" vertical="center" wrapText="1"/>
    </xf>
    <xf numFmtId="164" fontId="231" fillId="8" borderId="38" xfId="0" applyNumberFormat="1" applyFont="1" applyFill="1" applyBorder="1" applyAlignment="1">
      <alignment horizontal="right" vertical="center" wrapText="1"/>
    </xf>
    <xf numFmtId="164" fontId="298" fillId="8" borderId="36" xfId="0" applyNumberFormat="1" applyFont="1" applyFill="1" applyBorder="1" applyAlignment="1">
      <alignment horizontal="right" vertical="center" wrapText="1"/>
    </xf>
    <xf numFmtId="164" fontId="309" fillId="8" borderId="31" xfId="0" applyNumberFormat="1" applyFont="1" applyFill="1" applyBorder="1" applyAlignment="1">
      <alignment horizontal="right" vertical="center" wrapText="1"/>
    </xf>
    <xf numFmtId="164" fontId="171" fillId="4" borderId="24" xfId="0" applyNumberFormat="1" applyFont="1" applyFill="1" applyBorder="1" applyAlignment="1">
      <alignment horizontal="right" vertical="center" wrapText="1"/>
    </xf>
    <xf numFmtId="2" fontId="209" fillId="4" borderId="24" xfId="0" applyNumberFormat="1" applyFont="1" applyFill="1" applyBorder="1"/>
    <xf numFmtId="0" fontId="194" fillId="11" borderId="1" xfId="0" applyFont="1" applyFill="1" applyBorder="1" applyAlignment="1">
      <alignment horizontal="left" vertical="center" wrapText="1"/>
    </xf>
    <xf numFmtId="0" fontId="226" fillId="11" borderId="1" xfId="0" applyFont="1" applyFill="1" applyBorder="1" applyAlignment="1">
      <alignment horizontal="left" vertical="center" wrapText="1"/>
    </xf>
    <xf numFmtId="0" fontId="105" fillId="11" borderId="1" xfId="0" applyFont="1" applyFill="1" applyBorder="1" applyAlignment="1">
      <alignment horizontal="left" vertical="center"/>
    </xf>
    <xf numFmtId="2" fontId="318" fillId="10" borderId="29" xfId="0" applyNumberFormat="1" applyFont="1" applyFill="1" applyBorder="1" applyAlignment="1">
      <alignment horizontal="left" vertical="center" wrapText="1"/>
    </xf>
    <xf numFmtId="164" fontId="318" fillId="10" borderId="27" xfId="0" applyNumberFormat="1" applyFont="1" applyFill="1" applyBorder="1" applyAlignment="1">
      <alignment horizontal="right" vertical="center" wrapText="1"/>
    </xf>
    <xf numFmtId="2" fontId="318" fillId="10" borderId="11" xfId="0" applyNumberFormat="1" applyFont="1" applyFill="1" applyBorder="1" applyAlignment="1">
      <alignment horizontal="center" vertical="center" wrapText="1"/>
    </xf>
    <xf numFmtId="164" fontId="195" fillId="4" borderId="16" xfId="0" applyNumberFormat="1" applyFont="1" applyFill="1" applyBorder="1" applyAlignment="1">
      <alignment horizontal="right" vertical="center" wrapText="1"/>
    </xf>
    <xf numFmtId="164" fontId="312" fillId="4" borderId="16" xfId="0" applyNumberFormat="1" applyFont="1" applyFill="1" applyBorder="1"/>
    <xf numFmtId="0" fontId="319" fillId="12" borderId="1" xfId="0" applyFont="1" applyFill="1" applyBorder="1" applyAlignment="1">
      <alignment horizontal="left" vertical="center" wrapText="1"/>
    </xf>
    <xf numFmtId="2" fontId="319" fillId="12" borderId="1" xfId="0" applyNumberFormat="1" applyFont="1" applyFill="1" applyBorder="1" applyAlignment="1">
      <alignment horizontal="center" vertical="center" wrapText="1"/>
    </xf>
    <xf numFmtId="164" fontId="246" fillId="6" borderId="18" xfId="0" applyNumberFormat="1" applyFont="1" applyFill="1" applyBorder="1" applyAlignment="1">
      <alignment horizontal="right" vertical="center" wrapText="1"/>
    </xf>
    <xf numFmtId="164" fontId="246" fillId="6" borderId="22" xfId="0" applyNumberFormat="1" applyFont="1" applyFill="1" applyBorder="1" applyAlignment="1">
      <alignment horizontal="right" vertical="center" wrapText="1"/>
    </xf>
    <xf numFmtId="164" fontId="246" fillId="6" borderId="1" xfId="0" applyNumberFormat="1" applyFont="1" applyFill="1" applyBorder="1" applyAlignment="1">
      <alignment horizontal="right" vertical="center" wrapText="1"/>
    </xf>
    <xf numFmtId="2" fontId="301" fillId="5" borderId="30" xfId="0" applyNumberFormat="1" applyFont="1" applyFill="1" applyBorder="1" applyAlignment="1">
      <alignment horizontal="center" wrapText="1"/>
    </xf>
    <xf numFmtId="164" fontId="75" fillId="0" borderId="30" xfId="0" applyNumberFormat="1" applyFont="1" applyBorder="1" applyAlignment="1">
      <alignment horizontal="right" vertical="center" wrapText="1"/>
    </xf>
    <xf numFmtId="164" fontId="86" fillId="7" borderId="30" xfId="0" applyNumberFormat="1" applyFont="1" applyFill="1" applyBorder="1" applyAlignment="1">
      <alignment horizontal="right" vertical="center" wrapText="1"/>
    </xf>
    <xf numFmtId="164" fontId="314" fillId="6" borderId="30" xfId="0" applyNumberFormat="1" applyFont="1" applyFill="1" applyBorder="1" applyAlignment="1">
      <alignment horizontal="right" vertical="center" wrapText="1"/>
    </xf>
    <xf numFmtId="164" fontId="314" fillId="12" borderId="30" xfId="0" applyNumberFormat="1" applyFont="1" applyFill="1" applyBorder="1" applyAlignment="1">
      <alignment horizontal="right" vertical="center" wrapText="1"/>
    </xf>
    <xf numFmtId="164" fontId="30" fillId="2" borderId="30" xfId="0" applyNumberFormat="1" applyFont="1" applyFill="1" applyBorder="1" applyAlignment="1">
      <alignment horizontal="right" vertical="center" wrapText="1"/>
    </xf>
    <xf numFmtId="164" fontId="296" fillId="2" borderId="30" xfId="0" applyNumberFormat="1" applyFont="1" applyFill="1" applyBorder="1" applyAlignment="1">
      <alignment horizontal="right" vertical="center" wrapText="1"/>
    </xf>
    <xf numFmtId="164" fontId="158" fillId="3" borderId="30" xfId="0" applyNumberFormat="1" applyFont="1" applyFill="1" applyBorder="1" applyAlignment="1">
      <alignment horizontal="right" vertical="center" wrapText="1"/>
    </xf>
    <xf numFmtId="164" fontId="224" fillId="8" borderId="30" xfId="0" applyNumberFormat="1" applyFont="1" applyFill="1" applyBorder="1" applyAlignment="1">
      <alignment horizontal="right" vertical="center" wrapText="1"/>
    </xf>
    <xf numFmtId="164" fontId="224" fillId="8" borderId="39" xfId="0" applyNumberFormat="1" applyFont="1" applyFill="1" applyBorder="1" applyAlignment="1">
      <alignment horizontal="right" vertical="center" wrapText="1"/>
    </xf>
    <xf numFmtId="164" fontId="30" fillId="2" borderId="41" xfId="0" applyNumberFormat="1" applyFont="1" applyFill="1" applyBorder="1" applyAlignment="1">
      <alignment horizontal="right" vertical="center" wrapText="1"/>
    </xf>
    <xf numFmtId="2" fontId="190" fillId="0" borderId="12" xfId="0" applyNumberFormat="1" applyFont="1" applyBorder="1" applyAlignment="1">
      <alignment wrapText="1"/>
    </xf>
    <xf numFmtId="165" fontId="201" fillId="0" borderId="20" xfId="0" applyNumberFormat="1" applyFont="1" applyBorder="1" applyAlignment="1">
      <alignment horizontal="center" wrapText="1"/>
    </xf>
    <xf numFmtId="2" fontId="45" fillId="5" borderId="20" xfId="0" applyNumberFormat="1" applyFont="1" applyFill="1" applyBorder="1" applyAlignment="1">
      <alignment horizontal="center" wrapText="1"/>
    </xf>
    <xf numFmtId="164" fontId="177" fillId="0" borderId="20" xfId="0" applyNumberFormat="1" applyFont="1" applyBorder="1" applyAlignment="1">
      <alignment horizontal="right" vertical="center" wrapText="1"/>
    </xf>
    <xf numFmtId="164" fontId="73" fillId="7" borderId="20" xfId="0" applyNumberFormat="1" applyFont="1" applyFill="1" applyBorder="1" applyAlignment="1">
      <alignment horizontal="right" vertical="center" wrapText="1"/>
    </xf>
    <xf numFmtId="164" fontId="2" fillId="3" borderId="20" xfId="0" applyNumberFormat="1" applyFont="1" applyFill="1" applyBorder="1" applyAlignment="1">
      <alignment horizontal="right" vertical="center" wrapText="1"/>
    </xf>
    <xf numFmtId="164" fontId="246" fillId="6" borderId="12" xfId="0" applyNumberFormat="1" applyFont="1" applyFill="1" applyBorder="1" applyAlignment="1">
      <alignment horizontal="right" vertical="center" wrapText="1"/>
    </xf>
    <xf numFmtId="164" fontId="129" fillId="6" borderId="20" xfId="0" applyNumberFormat="1" applyFont="1" applyFill="1" applyBorder="1" applyAlignment="1">
      <alignment horizontal="right" vertical="center" wrapText="1"/>
    </xf>
    <xf numFmtId="164" fontId="129" fillId="12" borderId="20" xfId="0" applyNumberFormat="1" applyFont="1" applyFill="1" applyBorder="1" applyAlignment="1">
      <alignment horizontal="right" vertical="center" wrapText="1"/>
    </xf>
    <xf numFmtId="164" fontId="75" fillId="0" borderId="20" xfId="0" applyNumberFormat="1" applyFont="1" applyBorder="1" applyAlignment="1">
      <alignment horizontal="right" vertical="center" wrapText="1"/>
    </xf>
    <xf numFmtId="164" fontId="234" fillId="8" borderId="20" xfId="0" applyNumberFormat="1" applyFont="1" applyFill="1" applyBorder="1" applyAlignment="1">
      <alignment horizontal="right" vertical="center" wrapText="1"/>
    </xf>
    <xf numFmtId="164" fontId="298" fillId="8" borderId="42" xfId="0" applyNumberFormat="1" applyFont="1" applyFill="1" applyBorder="1" applyAlignment="1">
      <alignment horizontal="right" vertical="center" wrapText="1"/>
    </xf>
    <xf numFmtId="164" fontId="318" fillId="10" borderId="43" xfId="0" applyNumberFormat="1" applyFont="1" applyFill="1" applyBorder="1" applyAlignment="1">
      <alignment horizontal="right" vertical="center" wrapText="1"/>
    </xf>
    <xf numFmtId="0" fontId="84" fillId="0" borderId="15" xfId="0" applyFont="1" applyBorder="1"/>
    <xf numFmtId="2" fontId="100" fillId="0" borderId="10" xfId="0" applyNumberFormat="1" applyFont="1" applyBorder="1" applyAlignment="1">
      <alignment wrapText="1"/>
    </xf>
    <xf numFmtId="165" fontId="56" fillId="0" borderId="10" xfId="0" applyNumberFormat="1" applyFont="1" applyBorder="1" applyAlignment="1">
      <alignment horizontal="center" wrapText="1"/>
    </xf>
    <xf numFmtId="2" fontId="152" fillId="5" borderId="10" xfId="0" applyNumberFormat="1" applyFont="1" applyFill="1" applyBorder="1" applyAlignment="1">
      <alignment horizontal="center" wrapText="1"/>
    </xf>
    <xf numFmtId="164" fontId="85" fillId="0" borderId="10" xfId="0" applyNumberFormat="1" applyFont="1" applyBorder="1" applyAlignment="1">
      <alignment horizontal="right" vertical="center" wrapText="1"/>
    </xf>
    <xf numFmtId="164" fontId="261" fillId="7" borderId="10" xfId="0" applyNumberFormat="1" applyFont="1" applyFill="1" applyBorder="1" applyAlignment="1">
      <alignment horizontal="right" vertical="center" wrapText="1"/>
    </xf>
    <xf numFmtId="164" fontId="77" fillId="3" borderId="10" xfId="0" applyNumberFormat="1" applyFont="1" applyFill="1" applyBorder="1" applyAlignment="1">
      <alignment horizontal="right" vertical="center" wrapText="1"/>
    </xf>
    <xf numFmtId="164" fontId="27" fillId="6" borderId="10" xfId="0" applyNumberFormat="1" applyFont="1" applyFill="1" applyBorder="1" applyAlignment="1">
      <alignment horizontal="right" vertical="center" wrapText="1"/>
    </xf>
    <xf numFmtId="164" fontId="27" fillId="12" borderId="10" xfId="0" applyNumberFormat="1" applyFont="1" applyFill="1" applyBorder="1" applyAlignment="1">
      <alignment horizontal="right" vertical="center" wrapText="1"/>
    </xf>
    <xf numFmtId="164" fontId="75" fillId="0" borderId="10" xfId="0" applyNumberFormat="1" applyFont="1" applyBorder="1" applyAlignment="1">
      <alignment horizontal="right" vertical="center" wrapText="1"/>
    </xf>
    <xf numFmtId="164" fontId="177" fillId="0" borderId="10" xfId="0" applyNumberFormat="1" applyFont="1" applyBorder="1" applyAlignment="1">
      <alignment horizontal="right" vertical="center" wrapText="1"/>
    </xf>
    <xf numFmtId="164" fontId="112" fillId="8" borderId="10" xfId="0" applyNumberFormat="1" applyFont="1" applyFill="1" applyBorder="1" applyAlignment="1">
      <alignment horizontal="right" vertical="center" wrapText="1"/>
    </xf>
    <xf numFmtId="164" fontId="231" fillId="8" borderId="24" xfId="0" applyNumberFormat="1" applyFont="1" applyFill="1" applyBorder="1" applyAlignment="1">
      <alignment horizontal="right" vertical="center" wrapText="1"/>
    </xf>
    <xf numFmtId="164" fontId="318" fillId="10" borderId="16" xfId="0" applyNumberFormat="1" applyFont="1" applyFill="1" applyBorder="1" applyAlignment="1">
      <alignment horizontal="right" vertical="center" wrapText="1"/>
    </xf>
    <xf numFmtId="164" fontId="129" fillId="6" borderId="18" xfId="0" applyNumberFormat="1" applyFont="1" applyFill="1" applyBorder="1" applyAlignment="1">
      <alignment horizontal="right" vertical="center" wrapText="1"/>
    </xf>
    <xf numFmtId="164" fontId="129" fillId="12" borderId="18" xfId="0" applyNumberFormat="1" applyFont="1" applyFill="1" applyBorder="1" applyAlignment="1">
      <alignment horizontal="right" vertical="center" wrapText="1"/>
    </xf>
    <xf numFmtId="164" fontId="177" fillId="0" borderId="18" xfId="0" applyNumberFormat="1" applyFont="1" applyBorder="1" applyAlignment="1">
      <alignment horizontal="right" vertical="center" wrapText="1"/>
    </xf>
    <xf numFmtId="164" fontId="288" fillId="0" borderId="18" xfId="0" applyNumberFormat="1" applyFont="1" applyBorder="1" applyAlignment="1">
      <alignment horizontal="right" vertical="center" wrapText="1"/>
    </xf>
    <xf numFmtId="164" fontId="314" fillId="6" borderId="20" xfId="0" applyNumberFormat="1" applyFont="1" applyFill="1" applyBorder="1" applyAlignment="1">
      <alignment horizontal="right" vertical="center" wrapText="1"/>
    </xf>
    <xf numFmtId="164" fontId="129" fillId="6" borderId="1" xfId="0" applyNumberFormat="1" applyFont="1" applyFill="1" applyBorder="1" applyAlignment="1">
      <alignment horizontal="right" vertical="center" wrapText="1"/>
    </xf>
    <xf numFmtId="164" fontId="129" fillId="12" borderId="1" xfId="0" applyNumberFormat="1" applyFont="1" applyFill="1" applyBorder="1" applyAlignment="1">
      <alignment horizontal="right" vertical="center" wrapText="1"/>
    </xf>
    <xf numFmtId="164" fontId="288" fillId="0" borderId="1" xfId="0" applyNumberFormat="1" applyFont="1" applyBorder="1" applyAlignment="1">
      <alignment horizontal="right" vertical="center" wrapText="1"/>
    </xf>
    <xf numFmtId="164" fontId="177" fillId="0" borderId="1" xfId="0" applyNumberFormat="1" applyFont="1" applyBorder="1" applyAlignment="1">
      <alignment horizontal="right" vertical="center" wrapText="1"/>
    </xf>
    <xf numFmtId="0" fontId="114" fillId="0" borderId="34" xfId="0" applyFont="1" applyBorder="1"/>
    <xf numFmtId="0" fontId="84" fillId="0" borderId="30" xfId="0" applyFont="1" applyBorder="1"/>
    <xf numFmtId="165" fontId="154" fillId="0" borderId="30" xfId="0" applyNumberFormat="1" applyFont="1" applyBorder="1" applyAlignment="1">
      <alignment horizontal="center" wrapText="1"/>
    </xf>
    <xf numFmtId="0" fontId="274" fillId="5" borderId="30" xfId="0" applyFont="1" applyFill="1" applyBorder="1"/>
    <xf numFmtId="164" fontId="85" fillId="0" borderId="30" xfId="0" applyNumberFormat="1" applyFont="1" applyBorder="1" applyAlignment="1">
      <alignment horizontal="right" vertical="center" wrapText="1"/>
    </xf>
    <xf numFmtId="164" fontId="182" fillId="7" borderId="30" xfId="0" applyNumberFormat="1" applyFont="1" applyFill="1" applyBorder="1" applyAlignment="1">
      <alignment horizontal="right" vertical="center"/>
    </xf>
    <xf numFmtId="164" fontId="288" fillId="0" borderId="12" xfId="0" applyNumberFormat="1" applyFont="1" applyBorder="1" applyAlignment="1">
      <alignment horizontal="right" vertical="center" wrapText="1"/>
    </xf>
    <xf numFmtId="164" fontId="261" fillId="7" borderId="30" xfId="0" applyNumberFormat="1" applyFont="1" applyFill="1" applyBorder="1" applyAlignment="1">
      <alignment horizontal="right" vertical="center" wrapText="1"/>
    </xf>
    <xf numFmtId="164" fontId="271" fillId="3" borderId="30" xfId="0" applyNumberFormat="1" applyFont="1" applyFill="1" applyBorder="1" applyAlignment="1">
      <alignment horizontal="right" vertical="center"/>
    </xf>
    <xf numFmtId="164" fontId="27" fillId="6" borderId="30" xfId="0" applyNumberFormat="1" applyFont="1" applyFill="1" applyBorder="1" applyAlignment="1">
      <alignment horizontal="right" vertical="center" wrapText="1"/>
    </xf>
    <xf numFmtId="164" fontId="275" fillId="0" borderId="30" xfId="0" applyNumberFormat="1" applyFont="1" applyBorder="1" applyAlignment="1">
      <alignment horizontal="right" vertical="center"/>
    </xf>
    <xf numFmtId="164" fontId="112" fillId="8" borderId="30" xfId="0" applyNumberFormat="1" applyFont="1" applyFill="1" applyBorder="1" applyAlignment="1">
      <alignment horizontal="right" vertical="center" wrapText="1"/>
    </xf>
    <xf numFmtId="164" fontId="231" fillId="8" borderId="39" xfId="0" applyNumberFormat="1" applyFont="1" applyFill="1" applyBorder="1" applyAlignment="1">
      <alignment horizontal="right" vertical="center" wrapText="1"/>
    </xf>
    <xf numFmtId="164" fontId="318" fillId="10" borderId="41" xfId="0" applyNumberFormat="1" applyFont="1" applyFill="1" applyBorder="1" applyAlignment="1">
      <alignment horizontal="right" vertical="center" wrapText="1"/>
    </xf>
    <xf numFmtId="164" fontId="104" fillId="4" borderId="10" xfId="0" applyNumberFormat="1" applyFont="1" applyFill="1" applyBorder="1" applyAlignment="1">
      <alignment horizontal="right" vertical="center" wrapText="1"/>
    </xf>
    <xf numFmtId="0" fontId="26" fillId="4" borderId="10" xfId="0" applyFont="1" applyFill="1" applyBorder="1"/>
    <xf numFmtId="164" fontId="208" fillId="4" borderId="10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right" vertical="center" wrapText="1"/>
    </xf>
    <xf numFmtId="164" fontId="2" fillId="4" borderId="10" xfId="0" applyNumberFormat="1" applyFont="1" applyFill="1" applyBorder="1"/>
    <xf numFmtId="0" fontId="310" fillId="0" borderId="1" xfId="0" applyFont="1" applyBorder="1"/>
    <xf numFmtId="164" fontId="76" fillId="0" borderId="1" xfId="0" applyNumberFormat="1" applyFont="1" applyBorder="1"/>
    <xf numFmtId="0" fontId="151" fillId="0" borderId="34" xfId="0" applyFont="1" applyBorder="1"/>
    <xf numFmtId="0" fontId="302" fillId="0" borderId="30" xfId="0" applyFont="1" applyBorder="1"/>
    <xf numFmtId="0" fontId="220" fillId="5" borderId="30" xfId="0" applyFont="1" applyFill="1" applyBorder="1"/>
    <xf numFmtId="164" fontId="254" fillId="7" borderId="30" xfId="0" applyNumberFormat="1" applyFont="1" applyFill="1" applyBorder="1" applyAlignment="1">
      <alignment horizontal="right" vertical="center"/>
    </xf>
    <xf numFmtId="164" fontId="279" fillId="3" borderId="30" xfId="0" applyNumberFormat="1" applyFont="1" applyFill="1" applyBorder="1" applyAlignment="1">
      <alignment horizontal="right" vertical="center"/>
    </xf>
    <xf numFmtId="164" fontId="127" fillId="0" borderId="30" xfId="0" applyNumberFormat="1" applyFont="1" applyBorder="1" applyAlignment="1">
      <alignment horizontal="right" vertical="center"/>
    </xf>
    <xf numFmtId="0" fontId="17" fillId="0" borderId="0" xfId="0" applyFont="1" applyBorder="1"/>
    <xf numFmtId="0" fontId="71" fillId="0" borderId="9" xfId="0" applyFont="1" applyBorder="1" applyAlignment="1">
      <alignment horizontal="right" vertical="center"/>
    </xf>
    <xf numFmtId="0" fontId="215" fillId="0" borderId="9" xfId="0" applyFont="1" applyBorder="1" applyAlignment="1">
      <alignment horizontal="right" vertical="center"/>
    </xf>
    <xf numFmtId="0" fontId="19" fillId="0" borderId="9" xfId="0" applyFont="1" applyBorder="1"/>
    <xf numFmtId="164" fontId="135" fillId="0" borderId="9" xfId="0" applyNumberFormat="1" applyFont="1" applyBorder="1"/>
    <xf numFmtId="164" fontId="316" fillId="0" borderId="9" xfId="0" applyNumberFormat="1" applyFont="1" applyBorder="1"/>
    <xf numFmtId="0" fontId="269" fillId="0" borderId="0" xfId="0" applyFont="1" applyBorder="1"/>
    <xf numFmtId="0" fontId="137" fillId="0" borderId="0" xfId="0" applyFont="1" applyBorder="1"/>
    <xf numFmtId="0" fontId="0" fillId="0" borderId="0" xfId="0" applyBorder="1" applyAlignment="1">
      <alignment wrapText="1"/>
    </xf>
    <xf numFmtId="0" fontId="38" fillId="0" borderId="0" xfId="0" applyFont="1" applyBorder="1" applyAlignment="1">
      <alignment horizontal="center" vertical="center"/>
    </xf>
    <xf numFmtId="0" fontId="1" fillId="0" borderId="1" xfId="0" applyFont="1" applyBorder="1"/>
    <xf numFmtId="0" fontId="149" fillId="9" borderId="36" xfId="0" applyFont="1" applyFill="1" applyBorder="1"/>
    <xf numFmtId="0" fontId="251" fillId="9" borderId="31" xfId="0" applyFont="1" applyFill="1" applyBorder="1"/>
    <xf numFmtId="164" fontId="263" fillId="9" borderId="31" xfId="0" applyNumberFormat="1" applyFont="1" applyFill="1" applyBorder="1"/>
    <xf numFmtId="164" fontId="5" fillId="9" borderId="38" xfId="0" applyNumberFormat="1" applyFont="1" applyFill="1" applyBorder="1"/>
    <xf numFmtId="0" fontId="1" fillId="9" borderId="31" xfId="0" applyFont="1" applyFill="1" applyBorder="1"/>
    <xf numFmtId="0" fontId="320" fillId="0" borderId="11" xfId="0" applyFont="1" applyBorder="1"/>
    <xf numFmtId="164" fontId="320" fillId="0" borderId="27" xfId="0" applyNumberFormat="1" applyFont="1" applyBorder="1"/>
    <xf numFmtId="164" fontId="320" fillId="13" borderId="0" xfId="0" applyNumberFormat="1" applyFont="1" applyFill="1" applyBorder="1"/>
    <xf numFmtId="0" fontId="320" fillId="13" borderId="0" xfId="0" applyFont="1" applyFill="1" applyBorder="1" applyAlignment="1">
      <alignment horizontal="right"/>
    </xf>
    <xf numFmtId="0" fontId="320" fillId="13" borderId="0" xfId="0" applyFont="1" applyFill="1" applyBorder="1" applyAlignment="1">
      <alignment horizontal="left"/>
    </xf>
    <xf numFmtId="0" fontId="321" fillId="0" borderId="0" xfId="0" applyFont="1" applyAlignment="1">
      <alignment wrapText="1"/>
    </xf>
    <xf numFmtId="0" fontId="1" fillId="9" borderId="1" xfId="0" applyFont="1" applyFill="1" applyBorder="1"/>
    <xf numFmtId="0" fontId="29" fillId="4" borderId="10" xfId="0" applyFont="1" applyFill="1" applyBorder="1"/>
    <xf numFmtId="0" fontId="310" fillId="0" borderId="1" xfId="0" applyFont="1" applyBorder="1"/>
    <xf numFmtId="0" fontId="213" fillId="0" borderId="46" xfId="0" applyFont="1" applyBorder="1"/>
    <xf numFmtId="0" fontId="302" fillId="0" borderId="5" xfId="0" applyFont="1" applyBorder="1"/>
    <xf numFmtId="0" fontId="84" fillId="0" borderId="6" xfId="0" applyFont="1" applyBorder="1"/>
    <xf numFmtId="0" fontId="277" fillId="4" borderId="15" xfId="0" applyFont="1" applyFill="1" applyBorder="1"/>
    <xf numFmtId="164" fontId="2" fillId="3" borderId="2" xfId="0" applyNumberFormat="1" applyFont="1" applyFill="1" applyBorder="1" applyAlignment="1">
      <alignment horizontal="right" vertical="center" wrapText="1"/>
    </xf>
    <xf numFmtId="0" fontId="99" fillId="0" borderId="0" xfId="0" applyFont="1" applyBorder="1" applyAlignment="1">
      <alignment horizontal="left" vertical="center"/>
    </xf>
    <xf numFmtId="0" fontId="184" fillId="0" borderId="0" xfId="0" applyFont="1" applyBorder="1"/>
    <xf numFmtId="0" fontId="213" fillId="0" borderId="21" xfId="0" applyFont="1" applyBorder="1"/>
    <xf numFmtId="0" fontId="114" fillId="0" borderId="6" xfId="0" applyFont="1" applyBorder="1"/>
    <xf numFmtId="164" fontId="288" fillId="0" borderId="22" xfId="0" applyNumberFormat="1" applyFont="1" applyBorder="1" applyAlignment="1">
      <alignment horizontal="right" vertical="center" wrapText="1"/>
    </xf>
    <xf numFmtId="164" fontId="157" fillId="3" borderId="14" xfId="0" applyNumberFormat="1" applyFont="1" applyFill="1" applyBorder="1" applyAlignment="1">
      <alignment horizontal="right" vertical="center" wrapText="1"/>
    </xf>
    <xf numFmtId="164" fontId="75" fillId="0" borderId="14" xfId="0" applyNumberFormat="1" applyFont="1" applyBorder="1" applyAlignment="1">
      <alignment horizontal="right" vertical="center" wrapText="1"/>
    </xf>
    <xf numFmtId="164" fontId="314" fillId="6" borderId="14" xfId="0" applyNumberFormat="1" applyFont="1" applyFill="1" applyBorder="1" applyAlignment="1">
      <alignment horizontal="right" vertical="center" wrapText="1"/>
    </xf>
    <xf numFmtId="164" fontId="129" fillId="12" borderId="22" xfId="0" applyNumberFormat="1" applyFont="1" applyFill="1" applyBorder="1" applyAlignment="1">
      <alignment horizontal="right" vertical="center" wrapText="1"/>
    </xf>
    <xf numFmtId="4" fontId="202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/>
    <xf numFmtId="166" fontId="197" fillId="0" borderId="0" xfId="0" applyNumberFormat="1" applyFont="1" applyBorder="1" applyAlignment="1">
      <alignment horizontal="right" vertical="center"/>
    </xf>
    <xf numFmtId="164" fontId="233" fillId="0" borderId="0" xfId="0" applyNumberFormat="1" applyFont="1"/>
    <xf numFmtId="10" fontId="233" fillId="0" borderId="0" xfId="0" applyNumberFormat="1" applyFont="1"/>
    <xf numFmtId="10" fontId="197" fillId="0" borderId="16" xfId="0" applyNumberFormat="1" applyFont="1" applyBorder="1" applyAlignment="1">
      <alignment horizontal="right" vertical="center"/>
    </xf>
    <xf numFmtId="4" fontId="233" fillId="0" borderId="0" xfId="0" applyNumberFormat="1" applyFont="1"/>
    <xf numFmtId="0" fontId="3" fillId="0" borderId="0" xfId="0" applyFont="1" applyAlignment="1">
      <alignment horizontal="right"/>
    </xf>
    <xf numFmtId="0" fontId="310" fillId="0" borderId="1" xfId="0" applyFont="1" applyBorder="1"/>
    <xf numFmtId="0" fontId="163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wrapText="1"/>
    </xf>
    <xf numFmtId="0" fontId="270" fillId="0" borderId="0" xfId="0" applyFont="1" applyBorder="1"/>
    <xf numFmtId="0" fontId="217" fillId="0" borderId="0" xfId="0" applyFont="1" applyBorder="1" applyAlignment="1">
      <alignment horizontal="center" vertical="center"/>
    </xf>
    <xf numFmtId="0" fontId="310" fillId="0" borderId="1" xfId="0" applyFont="1" applyBorder="1"/>
    <xf numFmtId="0" fontId="163" fillId="0" borderId="1" xfId="0" applyFont="1" applyBorder="1" applyAlignment="1">
      <alignment horizontal="center" vertical="center" wrapText="1"/>
    </xf>
    <xf numFmtId="0" fontId="217" fillId="0" borderId="0" xfId="0" applyFont="1" applyAlignment="1">
      <alignment horizontal="center" vertical="center"/>
    </xf>
    <xf numFmtId="0" fontId="310" fillId="0" borderId="1" xfId="0" applyFont="1" applyBorder="1"/>
    <xf numFmtId="0" fontId="163" fillId="0" borderId="1" xfId="0" applyFont="1" applyBorder="1" applyAlignment="1">
      <alignment horizontal="center" vertical="center" wrapText="1"/>
    </xf>
    <xf numFmtId="0" fontId="12" fillId="0" borderId="28" xfId="0" applyFont="1" applyBorder="1"/>
    <xf numFmtId="0" fontId="3" fillId="0" borderId="1" xfId="0" applyFont="1" applyBorder="1" applyAlignment="1">
      <alignment horizontal="left" vertical="center" wrapText="1"/>
    </xf>
    <xf numFmtId="164" fontId="129" fillId="12" borderId="2" xfId="0" applyNumberFormat="1" applyFont="1" applyFill="1" applyBorder="1" applyAlignment="1">
      <alignment horizontal="right" vertical="center" wrapText="1"/>
    </xf>
    <xf numFmtId="164" fontId="314" fillId="12" borderId="1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2" fillId="0" borderId="28" xfId="0" applyFont="1" applyBorder="1" applyAlignment="1">
      <alignment horizontal="center" vertical="center" wrapText="1"/>
    </xf>
    <xf numFmtId="0" fontId="229" fillId="3" borderId="30" xfId="0" applyFont="1" applyFill="1" applyBorder="1" applyAlignment="1">
      <alignment horizontal="left" vertical="center" wrapText="1"/>
    </xf>
    <xf numFmtId="0" fontId="52" fillId="3" borderId="12" xfId="0" applyFont="1" applyFill="1" applyBorder="1" applyAlignment="1">
      <alignment horizontal="left" vertical="center" wrapText="1"/>
    </xf>
    <xf numFmtId="0" fontId="138" fillId="3" borderId="12" xfId="0" applyFont="1" applyFill="1" applyBorder="1" applyAlignment="1">
      <alignment horizontal="left" vertical="center" wrapText="1"/>
    </xf>
    <xf numFmtId="2" fontId="175" fillId="0" borderId="0" xfId="0" applyNumberFormat="1" applyFont="1" applyAlignment="1">
      <alignment wrapText="1"/>
    </xf>
    <xf numFmtId="0" fontId="34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5" fillId="0" borderId="31" xfId="0" applyFont="1" applyBorder="1" applyAlignment="1">
      <alignment horizontal="center" vertical="center" wrapText="1"/>
    </xf>
    <xf numFmtId="0" fontId="292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2" fontId="280" fillId="0" borderId="31" xfId="0" applyNumberFormat="1" applyFont="1" applyBorder="1" applyAlignment="1">
      <alignment horizontal="center" vertical="center" wrapText="1"/>
    </xf>
    <xf numFmtId="2" fontId="128" fillId="0" borderId="32" xfId="0" applyNumberFormat="1" applyFont="1" applyBorder="1" applyAlignment="1">
      <alignment horizontal="center" vertical="center" wrapText="1"/>
    </xf>
    <xf numFmtId="2" fontId="188" fillId="0" borderId="33" xfId="0" applyNumberFormat="1" applyFont="1" applyBorder="1" applyAlignment="1">
      <alignment horizontal="center" vertical="center" wrapText="1"/>
    </xf>
    <xf numFmtId="2" fontId="280" fillId="0" borderId="39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2" fontId="146" fillId="0" borderId="40" xfId="0" applyNumberFormat="1" applyFont="1" applyBorder="1" applyAlignment="1">
      <alignment horizontal="center" vertical="center" wrapText="1"/>
    </xf>
    <xf numFmtId="0" fontId="121" fillId="7" borderId="30" xfId="0" applyFont="1" applyFill="1" applyBorder="1" applyAlignment="1">
      <alignment horizontal="left" vertical="center" wrapText="1"/>
    </xf>
    <xf numFmtId="0" fontId="39" fillId="7" borderId="12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2" fontId="29" fillId="0" borderId="0" xfId="0" applyNumberFormat="1" applyFont="1" applyAlignment="1">
      <alignment horizontal="right" wrapText="1"/>
    </xf>
    <xf numFmtId="0" fontId="223" fillId="0" borderId="23" xfId="0" applyFont="1" applyBorder="1" applyAlignment="1">
      <alignment horizontal="right" vertical="center"/>
    </xf>
    <xf numFmtId="0" fontId="88" fillId="0" borderId="7" xfId="0" applyFont="1" applyBorder="1" applyAlignment="1">
      <alignment horizontal="right" vertical="center"/>
    </xf>
    <xf numFmtId="0" fontId="38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215" fillId="0" borderId="11" xfId="0" applyFont="1" applyBorder="1" applyAlignment="1">
      <alignment horizontal="right" vertical="center"/>
    </xf>
    <xf numFmtId="0" fontId="38" fillId="14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20" fillId="0" borderId="44" xfId="0" applyFont="1" applyBorder="1" applyAlignment="1">
      <alignment horizontal="right"/>
    </xf>
    <xf numFmtId="0" fontId="320" fillId="0" borderId="45" xfId="0" applyFont="1" applyBorder="1" applyAlignment="1">
      <alignment horizontal="right"/>
    </xf>
    <xf numFmtId="0" fontId="264" fillId="0" borderId="30" xfId="0" applyFont="1" applyBorder="1" applyAlignment="1">
      <alignment horizontal="center" vertical="center"/>
    </xf>
    <xf numFmtId="0" fontId="305" fillId="0" borderId="1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258" fillId="0" borderId="1" xfId="0" applyFont="1" applyBorder="1" applyAlignment="1">
      <alignment vertical="center"/>
    </xf>
    <xf numFmtId="0" fontId="37" fillId="0" borderId="28" xfId="0" applyFont="1" applyBorder="1" applyAlignment="1">
      <alignment horizontal="center" vertical="center" wrapText="1"/>
    </xf>
    <xf numFmtId="0" fontId="117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87" fillId="0" borderId="1" xfId="0" applyFont="1" applyBorder="1" applyAlignment="1">
      <alignment horizontal="center" vertical="center" wrapText="1"/>
    </xf>
    <xf numFmtId="0" fontId="12" fillId="0" borderId="28" xfId="0" applyFont="1" applyBorder="1"/>
    <xf numFmtId="0" fontId="218" fillId="0" borderId="28" xfId="0" applyFont="1" applyBorder="1"/>
    <xf numFmtId="0" fontId="37" fillId="0" borderId="0" xfId="0" applyFont="1" applyBorder="1" applyAlignment="1">
      <alignment horizontal="center" vertical="center" wrapText="1"/>
    </xf>
    <xf numFmtId="0" fontId="217" fillId="0" borderId="0" xfId="0" applyFont="1" applyBorder="1" applyAlignment="1">
      <alignment horizontal="center" vertical="center"/>
    </xf>
    <xf numFmtId="0" fontId="217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123" fillId="0" borderId="7" xfId="0" applyFont="1" applyBorder="1" applyAlignment="1">
      <alignment vertical="center"/>
    </xf>
    <xf numFmtId="0" fontId="252" fillId="4" borderId="8" xfId="0" applyFont="1" applyFill="1" applyBorder="1" applyAlignment="1">
      <alignment horizontal="center"/>
    </xf>
    <xf numFmtId="0" fontId="186" fillId="0" borderId="5" xfId="0" applyFont="1" applyBorder="1" applyAlignment="1">
      <alignment horizontal="center" vertical="center"/>
    </xf>
    <xf numFmtId="0" fontId="310" fillId="0" borderId="1" xfId="0" applyFont="1" applyBorder="1"/>
    <xf numFmtId="164" fontId="76" fillId="0" borderId="1" xfId="0" applyNumberFormat="1" applyFont="1" applyBorder="1"/>
    <xf numFmtId="0" fontId="251" fillId="0" borderId="7" xfId="0" applyFont="1" applyBorder="1"/>
    <xf numFmtId="164" fontId="136" fillId="0" borderId="7" xfId="0" applyNumberFormat="1" applyFont="1" applyBorder="1"/>
    <xf numFmtId="0" fontId="37" fillId="4" borderId="0" xfId="0" applyFont="1" applyFill="1" applyAlignment="1">
      <alignment horizontal="center" vertical="center"/>
    </xf>
    <xf numFmtId="0" fontId="21" fillId="0" borderId="0" xfId="0" applyFont="1"/>
    <xf numFmtId="0" fontId="120" fillId="0" borderId="0" xfId="0" applyFont="1" applyAlignment="1">
      <alignment horizontal="center" vertical="center"/>
    </xf>
    <xf numFmtId="0" fontId="58" fillId="0" borderId="0" xfId="0" applyFont="1"/>
    <xf numFmtId="0" fontId="134" fillId="0" borderId="5" xfId="0" applyFont="1" applyBorder="1" applyAlignment="1">
      <alignment horizontal="center" vertical="center" wrapText="1"/>
    </xf>
    <xf numFmtId="164" fontId="89" fillId="0" borderId="7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164" fontId="126" fillId="0" borderId="7" xfId="0" applyNumberFormat="1" applyFont="1" applyBorder="1" applyAlignment="1">
      <alignment horizontal="center" vertical="center"/>
    </xf>
    <xf numFmtId="0" fontId="273" fillId="0" borderId="21" xfId="0" applyFont="1" applyBorder="1" applyAlignment="1">
      <alignment horizontal="center" vertical="center" wrapText="1"/>
    </xf>
    <xf numFmtId="0" fontId="115" fillId="0" borderId="2" xfId="0" applyFont="1" applyBorder="1" applyAlignment="1">
      <alignment horizontal="center" vertical="center" wrapText="1"/>
    </xf>
    <xf numFmtId="0" fontId="163" fillId="0" borderId="1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5" fillId="0" borderId="35" xfId="0" applyFont="1" applyBorder="1" applyAlignment="1">
      <alignment horizontal="center" vertical="center" wrapText="1"/>
    </xf>
    <xf numFmtId="164" fontId="30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Вариант 1 Цена аренды 2,08 руб./кВт.ч., 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Расчёты!$D$43:$N$43</c:f>
              <c:numCache>
                <c:formatCode>#,##0.0</c:formatCode>
                <c:ptCount val="11"/>
                <c:pt idx="0">
                  <c:v>-8936722.6345454548</c:v>
                </c:pt>
                <c:pt idx="1">
                  <c:v>-12563411.370785825</c:v>
                </c:pt>
                <c:pt idx="2">
                  <c:v>-14125164.937534669</c:v>
                </c:pt>
                <c:pt idx="3">
                  <c:v>-14851881.639876734</c:v>
                </c:pt>
                <c:pt idx="4">
                  <c:v>-15160061.477812018</c:v>
                </c:pt>
                <c:pt idx="5">
                  <c:v>-15052370.293446841</c:v>
                </c:pt>
                <c:pt idx="6">
                  <c:v>-14942947.7743359</c:v>
                </c:pt>
                <c:pt idx="8">
                  <c:v>-17560287.019050848</c:v>
                </c:pt>
                <c:pt idx="9">
                  <c:v>-19334089.399359014</c:v>
                </c:pt>
                <c:pt idx="10">
                  <c:v>-18001247.919041604</c:v>
                </c:pt>
              </c:numCache>
            </c:numRef>
          </c:cat>
          <c:val>
            <c:numRef>
              <c:f>Расчёты!$D$45:$N$45</c:f>
              <c:numCache>
                <c:formatCode>#,##0.0</c:formatCode>
                <c:ptCount val="11"/>
                <c:pt idx="0">
                  <c:v>-8936722.6345454548</c:v>
                </c:pt>
                <c:pt idx="1">
                  <c:v>-12503957.457076967</c:v>
                </c:pt>
                <c:pt idx="2">
                  <c:v>-14014925.702251876</c:v>
                </c:pt>
                <c:pt idx="3">
                  <c:v>-14706484.941597398</c:v>
                </c:pt>
                <c:pt idx="4">
                  <c:v>-14994947.787562571</c:v>
                </c:pt>
                <c:pt idx="5">
                  <c:v>-14895799.040565677</c:v>
                </c:pt>
                <c:pt idx="6">
                  <c:v>-14796707.814716499</c:v>
                </c:pt>
                <c:pt idx="8">
                  <c:v>-17128070.948889364</c:v>
                </c:pt>
                <c:pt idx="9">
                  <c:v>-18682162.345937915</c:v>
                </c:pt>
                <c:pt idx="10">
                  <c:v>-17533555.92797469</c:v>
                </c:pt>
              </c:numCache>
            </c:numRef>
          </c:val>
        </c:ser>
        <c:marker val="1"/>
        <c:axId val="68730240"/>
        <c:axId val="57108352"/>
      </c:lineChart>
      <c:catAx>
        <c:axId val="6873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шаг месяц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.0" sourceLinked="1"/>
        <c:tickLblPos val="nextTo"/>
        <c:txPr>
          <a:bodyPr/>
          <a:lstStyle/>
          <a:p>
            <a:pPr>
              <a:defRPr/>
            </a:pPr>
            <a:endParaRPr lang="ru-RU"/>
          </a:p>
        </c:txPr>
        <c:crossAx val="57108352"/>
        <c:crosses val="autoZero"/>
        <c:lblAlgn val="ctr"/>
        <c:lblOffset val="100"/>
      </c:catAx>
      <c:valAx>
        <c:axId val="57108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ru-RU"/>
          </a:p>
        </c:txPr>
        <c:crossAx val="6873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581280788177335"/>
          <c:w val="0"/>
          <c:h val="3.9408866995073892E-2"/>
        </c:manualLayout>
      </c:layout>
    </c:legend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Вариант 1 Цена аренды 2,08 руб./кВт.ч., 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Расчёты!$D$43:$N$43</c:f>
              <c:numCache>
                <c:formatCode>#,##0.0</c:formatCode>
                <c:ptCount val="11"/>
                <c:pt idx="0">
                  <c:v>-8936722.6345454548</c:v>
                </c:pt>
                <c:pt idx="1">
                  <c:v>-12563411.370785825</c:v>
                </c:pt>
                <c:pt idx="2">
                  <c:v>-14125164.937534669</c:v>
                </c:pt>
                <c:pt idx="3">
                  <c:v>-14851881.639876734</c:v>
                </c:pt>
                <c:pt idx="4">
                  <c:v>-15160061.477812018</c:v>
                </c:pt>
                <c:pt idx="5">
                  <c:v>-15052370.293446841</c:v>
                </c:pt>
                <c:pt idx="6">
                  <c:v>-14942947.7743359</c:v>
                </c:pt>
                <c:pt idx="8">
                  <c:v>-17560287.019050848</c:v>
                </c:pt>
                <c:pt idx="9">
                  <c:v>-19334089.399359014</c:v>
                </c:pt>
                <c:pt idx="10">
                  <c:v>-18001247.919041604</c:v>
                </c:pt>
              </c:numCache>
            </c:numRef>
          </c:cat>
          <c:val>
            <c:numRef>
              <c:f>Расчёты!$D$45:$N$45</c:f>
              <c:numCache>
                <c:formatCode>#,##0.0</c:formatCode>
                <c:ptCount val="11"/>
                <c:pt idx="0">
                  <c:v>-8936722.6345454548</c:v>
                </c:pt>
                <c:pt idx="1">
                  <c:v>-12503957.457076967</c:v>
                </c:pt>
                <c:pt idx="2">
                  <c:v>-14014925.702251876</c:v>
                </c:pt>
                <c:pt idx="3">
                  <c:v>-14706484.941597398</c:v>
                </c:pt>
                <c:pt idx="4">
                  <c:v>-14994947.787562571</c:v>
                </c:pt>
                <c:pt idx="5">
                  <c:v>-14895799.040565677</c:v>
                </c:pt>
                <c:pt idx="6">
                  <c:v>-14796707.814716499</c:v>
                </c:pt>
                <c:pt idx="8">
                  <c:v>-17128070.948889364</c:v>
                </c:pt>
                <c:pt idx="9">
                  <c:v>-18682162.345937915</c:v>
                </c:pt>
                <c:pt idx="10">
                  <c:v>-17533555.92797469</c:v>
                </c:pt>
              </c:numCache>
            </c:numRef>
          </c:val>
        </c:ser>
        <c:marker val="1"/>
        <c:axId val="69154688"/>
        <c:axId val="69156864"/>
      </c:lineChart>
      <c:catAx>
        <c:axId val="6915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шаг месяц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.0" sourceLinked="1"/>
        <c:tickLblPos val="nextTo"/>
        <c:txPr>
          <a:bodyPr/>
          <a:lstStyle/>
          <a:p>
            <a:pPr>
              <a:defRPr/>
            </a:pPr>
            <a:endParaRPr lang="ru-RU"/>
          </a:p>
        </c:txPr>
        <c:crossAx val="69156864"/>
        <c:crosses val="autoZero"/>
        <c:lblAlgn val="ctr"/>
        <c:lblOffset val="100"/>
      </c:catAx>
      <c:valAx>
        <c:axId val="69156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ru-RU"/>
          </a:p>
        </c:txPr>
        <c:crossAx val="6915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581280788177335"/>
          <c:w val="0"/>
          <c:h val="3.9408866995073892E-2"/>
        </c:manualLayout>
      </c:layout>
    </c:legend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3844430630381729"/>
          <c:y val="1.8039675464444689E-2"/>
          <c:w val="0.82895335451489738"/>
          <c:h val="0.9271859387892355"/>
        </c:manualLayout>
      </c:layout>
      <c:lineChart>
        <c:grouping val="standard"/>
        <c:ser>
          <c:idx val="0"/>
          <c:order val="0"/>
          <c:tx>
            <c:v>Чистый доход</c:v>
          </c:tx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strRef>
              <c:f>Расчёты!$D$4:$BJ$4</c:f>
              <c:strCache>
                <c:ptCount val="59"/>
                <c:pt idx="0">
                  <c:v>Июнь 2013</c:v>
                </c:pt>
                <c:pt idx="1">
                  <c:v>Июль 2013</c:v>
                </c:pt>
                <c:pt idx="2">
                  <c:v>Август 2013</c:v>
                </c:pt>
                <c:pt idx="3">
                  <c:v>Сентябрь 2013</c:v>
                </c:pt>
                <c:pt idx="4">
                  <c:v>Октябрь 2013</c:v>
                </c:pt>
                <c:pt idx="5">
                  <c:v>Ноябрь 2013</c:v>
                </c:pt>
                <c:pt idx="6">
                  <c:v>Декабрь 2013</c:v>
                </c:pt>
                <c:pt idx="7">
                  <c:v>Всего за 2013</c:v>
                </c:pt>
                <c:pt idx="8">
                  <c:v>Январь 2014</c:v>
                </c:pt>
                <c:pt idx="9">
                  <c:v>Февраль 2014</c:v>
                </c:pt>
                <c:pt idx="10">
                  <c:v>Март 2014</c:v>
                </c:pt>
                <c:pt idx="11">
                  <c:v>Апрель 2014</c:v>
                </c:pt>
                <c:pt idx="12">
                  <c:v>Май 2014</c:v>
                </c:pt>
                <c:pt idx="13">
                  <c:v>Июнь 2014</c:v>
                </c:pt>
                <c:pt idx="14">
                  <c:v>Июль 2014</c:v>
                </c:pt>
                <c:pt idx="15">
                  <c:v>Август 2014</c:v>
                </c:pt>
                <c:pt idx="16">
                  <c:v>Сентябрь 2014</c:v>
                </c:pt>
                <c:pt idx="17">
                  <c:v>Октябрь 2014</c:v>
                </c:pt>
                <c:pt idx="18">
                  <c:v>Ноябрь 2014</c:v>
                </c:pt>
                <c:pt idx="19">
                  <c:v>Декабрь 2014</c:v>
                </c:pt>
                <c:pt idx="20">
                  <c:v>Всего за 2014</c:v>
                </c:pt>
                <c:pt idx="21">
                  <c:v>Январь 2015</c:v>
                </c:pt>
                <c:pt idx="22">
                  <c:v>Февраль 2015</c:v>
                </c:pt>
                <c:pt idx="23">
                  <c:v>Март 2015</c:v>
                </c:pt>
                <c:pt idx="24">
                  <c:v>Апрель 2015</c:v>
                </c:pt>
                <c:pt idx="25">
                  <c:v>Май 2015</c:v>
                </c:pt>
                <c:pt idx="26">
                  <c:v>Июнь 2015</c:v>
                </c:pt>
                <c:pt idx="27">
                  <c:v>Июль 2015</c:v>
                </c:pt>
                <c:pt idx="28">
                  <c:v>Август 2015</c:v>
                </c:pt>
                <c:pt idx="29">
                  <c:v>Сентябрь 2015</c:v>
                </c:pt>
                <c:pt idx="30">
                  <c:v>Октябрь 2015</c:v>
                </c:pt>
                <c:pt idx="31">
                  <c:v>Ноябрь 2015</c:v>
                </c:pt>
                <c:pt idx="32">
                  <c:v>Декабрь 2015</c:v>
                </c:pt>
                <c:pt idx="33">
                  <c:v>Всего за 2015</c:v>
                </c:pt>
                <c:pt idx="34">
                  <c:v>Январь 2016</c:v>
                </c:pt>
                <c:pt idx="35">
                  <c:v>Февраль 2016</c:v>
                </c:pt>
                <c:pt idx="36">
                  <c:v>Март 2016</c:v>
                </c:pt>
                <c:pt idx="37">
                  <c:v>Апрель 2016</c:v>
                </c:pt>
                <c:pt idx="38">
                  <c:v>Май 2016</c:v>
                </c:pt>
                <c:pt idx="39">
                  <c:v>Июнь 2016</c:v>
                </c:pt>
                <c:pt idx="40">
                  <c:v>Июль 2016</c:v>
                </c:pt>
                <c:pt idx="41">
                  <c:v>Август 2016</c:v>
                </c:pt>
                <c:pt idx="42">
                  <c:v>Сентябрь 2016</c:v>
                </c:pt>
                <c:pt idx="43">
                  <c:v>Октябрь 2016</c:v>
                </c:pt>
                <c:pt idx="44">
                  <c:v>Ноябрь 2016</c:v>
                </c:pt>
                <c:pt idx="45">
                  <c:v>Декабрь 2016</c:v>
                </c:pt>
                <c:pt idx="46">
                  <c:v>Всего за 2016</c:v>
                </c:pt>
                <c:pt idx="47">
                  <c:v>Январь 2017</c:v>
                </c:pt>
                <c:pt idx="48">
                  <c:v>Февраль 2017</c:v>
                </c:pt>
                <c:pt idx="49">
                  <c:v>Март 2017</c:v>
                </c:pt>
                <c:pt idx="50">
                  <c:v>Апрель 2017</c:v>
                </c:pt>
                <c:pt idx="51">
                  <c:v>Май 2017</c:v>
                </c:pt>
                <c:pt idx="52">
                  <c:v>Июнь 2017</c:v>
                </c:pt>
                <c:pt idx="53">
                  <c:v>Июль 2017</c:v>
                </c:pt>
                <c:pt idx="54">
                  <c:v>Август 2017</c:v>
                </c:pt>
                <c:pt idx="55">
                  <c:v>Сентябрь 2017</c:v>
                </c:pt>
                <c:pt idx="56">
                  <c:v>Октябрь 2017</c:v>
                </c:pt>
                <c:pt idx="57">
                  <c:v>Ноябрь 2017</c:v>
                </c:pt>
                <c:pt idx="58">
                  <c:v>Декабрь 2017</c:v>
                </c:pt>
              </c:strCache>
            </c:strRef>
          </c:cat>
          <c:val>
            <c:numRef>
              <c:f>Расчёты!$F$43:$BJ$43</c:f>
              <c:numCache>
                <c:formatCode>#,##0.0</c:formatCode>
                <c:ptCount val="57"/>
                <c:pt idx="0">
                  <c:v>-14125164.937534669</c:v>
                </c:pt>
                <c:pt idx="1">
                  <c:v>-14851881.639876734</c:v>
                </c:pt>
                <c:pt idx="2">
                  <c:v>-15160061.477812018</c:v>
                </c:pt>
                <c:pt idx="3">
                  <c:v>-15052370.293446841</c:v>
                </c:pt>
                <c:pt idx="4">
                  <c:v>-14942947.7743359</c:v>
                </c:pt>
                <c:pt idx="6">
                  <c:v>-17560287.019050848</c:v>
                </c:pt>
                <c:pt idx="7">
                  <c:v>-19334089.399359014</c:v>
                </c:pt>
                <c:pt idx="8">
                  <c:v>-18001247.919041604</c:v>
                </c:pt>
                <c:pt idx="9">
                  <c:v>-16796811.78476939</c:v>
                </c:pt>
                <c:pt idx="10">
                  <c:v>-15588930.149084747</c:v>
                </c:pt>
                <c:pt idx="11">
                  <c:v>-14377603.011987675</c:v>
                </c:pt>
                <c:pt idx="12">
                  <c:v>-17390973.68652286</c:v>
                </c:pt>
                <c:pt idx="13">
                  <c:v>-17308790.829984594</c:v>
                </c:pt>
                <c:pt idx="14">
                  <c:v>-15601698.39767951</c:v>
                </c:pt>
                <c:pt idx="15">
                  <c:v>-13032993.740798153</c:v>
                </c:pt>
                <c:pt idx="16">
                  <c:v>-10458223.469510017</c:v>
                </c:pt>
                <c:pt idx="17">
                  <c:v>-7877387.5838151015</c:v>
                </c:pt>
                <c:pt idx="19">
                  <c:v>-12061214.831950694</c:v>
                </c:pt>
                <c:pt idx="20">
                  <c:v>-12304906.063137133</c:v>
                </c:pt>
                <c:pt idx="21">
                  <c:v>-8411865.4170317389</c:v>
                </c:pt>
                <c:pt idx="22">
                  <c:v>-3862456.8895704132</c:v>
                </c:pt>
                <c:pt idx="23">
                  <c:v>696250.36670447141</c:v>
                </c:pt>
                <c:pt idx="24">
                  <c:v>5264256.3517929148</c:v>
                </c:pt>
                <c:pt idx="25">
                  <c:v>9841561.065694917</c:v>
                </c:pt>
                <c:pt idx="26">
                  <c:v>14428164.50841048</c:v>
                </c:pt>
                <c:pt idx="27">
                  <c:v>19024066.679939602</c:v>
                </c:pt>
                <c:pt idx="28">
                  <c:v>23629267.580282282</c:v>
                </c:pt>
                <c:pt idx="29">
                  <c:v>28243767.209438521</c:v>
                </c:pt>
                <c:pt idx="30">
                  <c:v>32867565.567408323</c:v>
                </c:pt>
                <c:pt idx="32">
                  <c:v>33268121.50229276</c:v>
                </c:pt>
                <c:pt idx="33">
                  <c:v>35450397.317889675</c:v>
                </c:pt>
                <c:pt idx="34">
                  <c:v>41335716.754504777</c:v>
                </c:pt>
                <c:pt idx="35">
                  <c:v>47958302.422758296</c:v>
                </c:pt>
                <c:pt idx="36">
                  <c:v>54593152.966718033</c:v>
                </c:pt>
                <c:pt idx="37">
                  <c:v>61240268.386383981</c:v>
                </c:pt>
                <c:pt idx="38">
                  <c:v>67899648.681756139</c:v>
                </c:pt>
                <c:pt idx="39">
                  <c:v>74571293.852834523</c:v>
                </c:pt>
                <c:pt idx="40">
                  <c:v>81255203.899619117</c:v>
                </c:pt>
                <c:pt idx="41">
                  <c:v>87951378.822109923</c:v>
                </c:pt>
                <c:pt idx="42">
                  <c:v>94659818.620306939</c:v>
                </c:pt>
                <c:pt idx="43">
                  <c:v>101306934.03997289</c:v>
                </c:pt>
                <c:pt idx="45">
                  <c:v>103786165.18280268</c:v>
                </c:pt>
                <c:pt idx="46">
                  <c:v>108013789.74371156</c:v>
                </c:pt>
                <c:pt idx="47">
                  <c:v>116978293.14642836</c:v>
                </c:pt>
                <c:pt idx="48">
                  <c:v>126274947.57174402</c:v>
                </c:pt>
                <c:pt idx="49">
                  <c:v>135269913.01965857</c:v>
                </c:pt>
                <c:pt idx="50">
                  <c:v>144280109.49017197</c:v>
                </c:pt>
                <c:pt idx="51">
                  <c:v>153305536.98328424</c:v>
                </c:pt>
                <c:pt idx="52">
                  <c:v>162361246.34645301</c:v>
                </c:pt>
                <c:pt idx="53">
                  <c:v>171433235.27459353</c:v>
                </c:pt>
                <c:pt idx="54">
                  <c:v>180521503.7677058</c:v>
                </c:pt>
                <c:pt idx="55">
                  <c:v>189626051.82578981</c:v>
                </c:pt>
                <c:pt idx="56">
                  <c:v>198651299.14376083</c:v>
                </c:pt>
              </c:numCache>
            </c:numRef>
          </c:val>
        </c:ser>
        <c:ser>
          <c:idx val="1"/>
          <c:order val="1"/>
          <c:tx>
            <c:v>Чистый дисконтированный доход</c:v>
          </c:tx>
          <c:marker>
            <c:symbol val="none"/>
          </c:marker>
          <c:val>
            <c:numRef>
              <c:f>Расчёты!$D$45:$BJ$45</c:f>
              <c:numCache>
                <c:formatCode>#,##0.0</c:formatCode>
                <c:ptCount val="59"/>
                <c:pt idx="0">
                  <c:v>-8936722.6345454548</c:v>
                </c:pt>
                <c:pt idx="1">
                  <c:v>-12503957.457076967</c:v>
                </c:pt>
                <c:pt idx="2">
                  <c:v>-14014925.702251876</c:v>
                </c:pt>
                <c:pt idx="3">
                  <c:v>-14706484.941597398</c:v>
                </c:pt>
                <c:pt idx="4">
                  <c:v>-14994947.787562571</c:v>
                </c:pt>
                <c:pt idx="5">
                  <c:v>-14895799.040565677</c:v>
                </c:pt>
                <c:pt idx="6">
                  <c:v>-14796707.814716499</c:v>
                </c:pt>
                <c:pt idx="8">
                  <c:v>-17128070.948889364</c:v>
                </c:pt>
                <c:pt idx="9">
                  <c:v>-18682162.345937915</c:v>
                </c:pt>
                <c:pt idx="10">
                  <c:v>-17533555.92797469</c:v>
                </c:pt>
                <c:pt idx="11">
                  <c:v>-16512621.310346067</c:v>
                </c:pt>
                <c:pt idx="12">
                  <c:v>-15505550.640828399</c:v>
                </c:pt>
                <c:pt idx="13">
                  <c:v>-14512163.734779948</c:v>
                </c:pt>
                <c:pt idx="14">
                  <c:v>-16942861.475620706</c:v>
                </c:pt>
                <c:pt idx="15">
                  <c:v>-16877656.453323431</c:v>
                </c:pt>
                <c:pt idx="16">
                  <c:v>-15545429.341366768</c:v>
                </c:pt>
                <c:pt idx="17">
                  <c:v>-13573656.778958026</c:v>
                </c:pt>
                <c:pt idx="18">
                  <c:v>-11629628.637617879</c:v>
                </c:pt>
                <c:pt idx="19">
                  <c:v>-9712965.1681369841</c:v>
                </c:pt>
                <c:pt idx="21">
                  <c:v>-12769157.17912351</c:v>
                </c:pt>
                <c:pt idx="22">
                  <c:v>-12944249.947584555</c:v>
                </c:pt>
                <c:pt idx="23">
                  <c:v>-10192945.432241499</c:v>
                </c:pt>
                <c:pt idx="24">
                  <c:v>-7030477.8996657291</c:v>
                </c:pt>
                <c:pt idx="25">
                  <c:v>-3913496.1613684106</c:v>
                </c:pt>
                <c:pt idx="26">
                  <c:v>-841358.77704602573</c:v>
                </c:pt>
                <c:pt idx="27">
                  <c:v>2186566.8868533331</c:v>
                </c:pt>
                <c:pt idx="28">
                  <c:v>5170904.7734920643</c:v>
                </c:pt>
                <c:pt idx="29">
                  <c:v>8112270.2505567847</c:v>
                </c:pt>
                <c:pt idx="30">
                  <c:v>11011270.223739885</c:v>
                </c:pt>
                <c:pt idx="31">
                  <c:v>13868503.248805001</c:v>
                </c:pt>
                <c:pt idx="32">
                  <c:v>16684559.642252328</c:v>
                </c:pt>
                <c:pt idx="34">
                  <c:v>16924513.119296394</c:v>
                </c:pt>
                <c:pt idx="35">
                  <c:v>18210376.80552718</c:v>
                </c:pt>
                <c:pt idx="36">
                  <c:v>21621337.753932633</c:v>
                </c:pt>
                <c:pt idx="37">
                  <c:v>25396674.608348776</c:v>
                </c:pt>
                <c:pt idx="38">
                  <c:v>29116997.911047988</c:v>
                </c:pt>
                <c:pt idx="39">
                  <c:v>32783096.782281563</c:v>
                </c:pt>
                <c:pt idx="40">
                  <c:v>36395749.254120477</c:v>
                </c:pt>
                <c:pt idx="41">
                  <c:v>39955722.421930201</c:v>
                </c:pt>
                <c:pt idx="42">
                  <c:v>43463772.593859009</c:v>
                </c:pt>
                <c:pt idx="43">
                  <c:v>46920645.438364215</c:v>
                </c:pt>
                <c:pt idx="44">
                  <c:v>50327076.129800491</c:v>
                </c:pt>
                <c:pt idx="45">
                  <c:v>53647034.710414998</c:v>
                </c:pt>
                <c:pt idx="47">
                  <c:v>54865008.323787495</c:v>
                </c:pt>
                <c:pt idx="48">
                  <c:v>56907868.718324363</c:v>
                </c:pt>
                <c:pt idx="49">
                  <c:v>61168656.740159243</c:v>
                </c:pt>
                <c:pt idx="50">
                  <c:v>65514877.629632942</c:v>
                </c:pt>
                <c:pt idx="51">
                  <c:v>69651120.408490866</c:v>
                </c:pt>
                <c:pt idx="52">
                  <c:v>73726444.941617265</c:v>
                </c:pt>
                <c:pt idx="53">
                  <c:v>77741736.954139903</c:v>
                </c:pt>
                <c:pt idx="54">
                  <c:v>81704455.654085442</c:v>
                </c:pt>
                <c:pt idx="55">
                  <c:v>85609218.79856658</c:v>
                </c:pt>
                <c:pt idx="56">
                  <c:v>89456861.609047085</c:v>
                </c:pt>
                <c:pt idx="57">
                  <c:v>93248207.497943938</c:v>
                </c:pt>
                <c:pt idx="58">
                  <c:v>96944918.8555004</c:v>
                </c:pt>
              </c:numCache>
            </c:numRef>
          </c:val>
        </c:ser>
        <c:marker val="1"/>
        <c:axId val="78464512"/>
        <c:axId val="78466048"/>
      </c:lineChart>
      <c:catAx>
        <c:axId val="78464512"/>
        <c:scaling>
          <c:orientation val="minMax"/>
        </c:scaling>
        <c:axPos val="b"/>
        <c:majorGridlines/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/>
            </a:pPr>
            <a:endParaRPr lang="ru-RU"/>
          </a:p>
        </c:txPr>
        <c:crossAx val="78466048"/>
        <c:crosses val="autoZero"/>
        <c:lblAlgn val="ctr"/>
        <c:lblOffset val="100"/>
      </c:catAx>
      <c:valAx>
        <c:axId val="78466048"/>
        <c:scaling>
          <c:orientation val="minMax"/>
          <c:max val="150000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Доход, 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25400" cmpd="sng">
            <a:solidFill>
              <a:schemeClr val="tx1"/>
            </a:solidFill>
          </a:ln>
        </c:spPr>
        <c:txPr>
          <a:bodyPr/>
          <a:lstStyle/>
          <a:p>
            <a:pPr>
              <a:defRPr/>
            </a:pPr>
            <a:endParaRPr lang="ru-RU"/>
          </a:p>
        </c:txPr>
        <c:crossAx val="78464512"/>
        <c:crosses val="autoZero"/>
        <c:crossBetween val="between"/>
        <c:majorUnit val="10000000"/>
      </c:valAx>
    </c:plotArea>
    <c:legend>
      <c:legendPos val="r"/>
      <c:layout>
        <c:manualLayout>
          <c:xMode val="edge"/>
          <c:yMode val="edge"/>
          <c:x val="0.42105263157894873"/>
          <c:y val="0.94581280788177335"/>
          <c:w val="0.24946328896522255"/>
          <c:h val="5.4187202321465393E-2"/>
        </c:manualLayout>
      </c:layout>
    </c:legend>
    <c:dispBlanksAs val="gap"/>
  </c:chart>
  <c:printSettings>
    <c:headerFooter/>
    <c:pageMargins b="0.35433070866141736" l="0.3149606299212625" r="0.3149606299212625" t="0.74803149606299491" header="0.3149606299212625" footer="0.314960629921262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121921</xdr:rowOff>
    </xdr:from>
    <xdr:to>
      <xdr:col>2</xdr:col>
      <xdr:colOff>416933</xdr:colOff>
      <xdr:row>0</xdr:row>
      <xdr:rowOff>777241</xdr:rowOff>
    </xdr:to>
    <xdr:pic>
      <xdr:nvPicPr>
        <xdr:cNvPr id="3" name="Рисунок 2" descr="Логотип кирил_вар 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" y="121921"/>
          <a:ext cx="1598033" cy="655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45</xdr:row>
      <xdr:rowOff>0</xdr:rowOff>
    </xdr:from>
    <xdr:to>
      <xdr:col>14</xdr:col>
      <xdr:colOff>0</xdr:colOff>
      <xdr:row>79</xdr:row>
      <xdr:rowOff>95250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  <xdr:twoCellAnchor editAs="oneCell">
    <xdr:from>
      <xdr:col>24</xdr:col>
      <xdr:colOff>0</xdr:colOff>
      <xdr:row>45</xdr:row>
      <xdr:rowOff>0</xdr:rowOff>
    </xdr:from>
    <xdr:to>
      <xdr:col>24</xdr:col>
      <xdr:colOff>0</xdr:colOff>
      <xdr:row>79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118</xdr:row>
      <xdr:rowOff>36197</xdr:rowOff>
    </xdr:from>
    <xdr:to>
      <xdr:col>4</xdr:col>
      <xdr:colOff>523875</xdr:colOff>
      <xdr:row>127</xdr:row>
      <xdr:rowOff>89537</xdr:rowOff>
    </xdr:to>
    <xdr:sp macro="" textlink="">
      <xdr:nvSpPr>
        <xdr:cNvPr id="2" name="Прямая со стрелкой 1"/>
        <xdr:cNvSpPr/>
      </xdr:nvSpPr>
      <xdr:spPr>
        <a:xfrm>
          <a:off x="4897755" y="21456017"/>
          <a:ext cx="0" cy="1493520"/>
        </a:xfrm>
        <a:prstGeom prst="straightConnector1">
          <a:avLst/>
        </a:prstGeom>
        <a:ln w="12700">
          <a:solidFill>
            <a:srgbClr val="FF0000"/>
          </a:solidFill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9523</xdr:rowOff>
    </xdr:from>
    <xdr:to>
      <xdr:col>14</xdr:col>
      <xdr:colOff>561975</xdr:colOff>
      <xdr:row>57</xdr:row>
      <xdr:rowOff>114300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0.13547</cdr:x>
      <cdr:y>0.62667</cdr:y>
    </cdr:from>
    <cdr:to>
      <cdr:x>0.68677</cdr:x>
      <cdr:y>0.62667</cdr:y>
    </cdr:to>
    <cdr:sp macro="" textlink="">
      <cdr:nvSpPr>
        <cdr:cNvPr id="3" name="Прямая со стрелкой 2"/>
        <cdr:cNvSpPr/>
      </cdr:nvSpPr>
      <cdr:spPr>
        <a:xfrm xmlns:a="http://schemas.openxmlformats.org/drawingml/2006/main">
          <a:off x="1202056" y="5781644"/>
          <a:ext cx="4892012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FF0000"/>
          </a:solidFill>
          <a:prstDash val="lg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0.56311</cdr:x>
      <cdr:y>0.63328</cdr:y>
    </cdr:from>
    <cdr:to>
      <cdr:x>0.56311</cdr:x>
      <cdr:y>0.79517</cdr:y>
    </cdr:to>
    <cdr:sp macro="" textlink="">
      <cdr:nvSpPr>
        <cdr:cNvPr id="5" name="Прямая со стрелкой 4"/>
        <cdr:cNvSpPr/>
      </cdr:nvSpPr>
      <cdr:spPr>
        <a:xfrm xmlns:a="http://schemas.openxmlformats.org/drawingml/2006/main">
          <a:off x="4996784" y="5842603"/>
          <a:ext cx="0" cy="149356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FF0000"/>
          </a:solidFill>
          <a:prstDash val="lg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0.68677</cdr:x>
      <cdr:y>0.63246</cdr:y>
    </cdr:from>
    <cdr:to>
      <cdr:x>0.68677</cdr:x>
      <cdr:y>0.79434</cdr:y>
    </cdr:to>
    <cdr:sp macro="" textlink="">
      <cdr:nvSpPr>
        <cdr:cNvPr id="6" name="Прямая со стрелкой 5"/>
        <cdr:cNvSpPr/>
      </cdr:nvSpPr>
      <cdr:spPr>
        <a:xfrm xmlns:a="http://schemas.openxmlformats.org/drawingml/2006/main">
          <a:off x="6094067" y="5834983"/>
          <a:ext cx="0" cy="149356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FF0000"/>
          </a:solidFill>
          <a:prstDash val="lgDash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A16" workbookViewId="0">
      <selection activeCell="A17" sqref="A17:J22"/>
    </sheetView>
  </sheetViews>
  <sheetFormatPr defaultColWidth="8.6640625" defaultRowHeight="12.75" customHeight="1"/>
  <cols>
    <col min="1" max="10" width="8.6640625" style="35"/>
  </cols>
  <sheetData>
    <row r="1" spans="1:10" ht="70.2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</row>
    <row r="2" spans="1:10" ht="15" customHeight="1">
      <c r="A2" s="436" t="s">
        <v>0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3.2">
      <c r="A3" s="435"/>
      <c r="B3" s="435"/>
      <c r="C3" s="435"/>
      <c r="D3" s="435"/>
      <c r="E3" s="435"/>
      <c r="F3" s="435"/>
      <c r="G3" s="435"/>
      <c r="H3" s="435"/>
      <c r="I3" s="435"/>
      <c r="J3" s="435"/>
    </row>
    <row r="4" spans="1:10" ht="55.5" customHeight="1">
      <c r="A4" s="437" t="s">
        <v>242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ht="13.2">
      <c r="A5" s="435"/>
      <c r="B5" s="435"/>
      <c r="C5" s="435"/>
      <c r="D5" s="435"/>
      <c r="E5" s="435"/>
      <c r="F5" s="435"/>
      <c r="G5" s="435"/>
      <c r="H5" s="435"/>
      <c r="I5" s="435"/>
      <c r="J5" s="435"/>
    </row>
    <row r="6" spans="1:10" s="106" customFormat="1" ht="15" customHeight="1">
      <c r="A6" s="436" t="s">
        <v>1</v>
      </c>
      <c r="B6" s="436"/>
      <c r="C6" s="436"/>
      <c r="D6" s="436"/>
      <c r="E6" s="436"/>
      <c r="F6" s="436"/>
      <c r="G6" s="436"/>
      <c r="H6" s="436"/>
      <c r="I6" s="436"/>
      <c r="J6" s="436"/>
    </row>
    <row r="7" spans="1:10" s="106" customFormat="1" ht="13.2">
      <c r="A7" s="435"/>
      <c r="B7" s="435"/>
      <c r="C7" s="435"/>
      <c r="D7" s="435"/>
      <c r="E7" s="435"/>
      <c r="F7" s="435"/>
      <c r="G7" s="435"/>
      <c r="H7" s="435"/>
      <c r="I7" s="435"/>
      <c r="J7" s="435"/>
    </row>
    <row r="8" spans="1:10" ht="30" customHeight="1">
      <c r="A8" s="437" t="s">
        <v>240</v>
      </c>
      <c r="B8" s="435"/>
      <c r="C8" s="435"/>
      <c r="D8" s="435"/>
      <c r="E8" s="435"/>
      <c r="F8" s="435"/>
      <c r="G8" s="435"/>
      <c r="H8" s="435"/>
      <c r="I8" s="435"/>
      <c r="J8" s="435"/>
    </row>
    <row r="9" spans="1:10" ht="57" customHeight="1">
      <c r="A9" s="437" t="s">
        <v>243</v>
      </c>
      <c r="B9" s="437"/>
      <c r="C9" s="437"/>
      <c r="D9" s="437"/>
      <c r="E9" s="437"/>
      <c r="F9" s="437"/>
      <c r="G9" s="437"/>
      <c r="H9" s="437"/>
      <c r="I9" s="437"/>
      <c r="J9" s="437"/>
    </row>
    <row r="10" spans="1:10" s="106" customFormat="1" ht="30" customHeight="1">
      <c r="A10" s="437" t="s">
        <v>238</v>
      </c>
      <c r="B10" s="435"/>
      <c r="C10" s="435"/>
      <c r="D10" s="435"/>
      <c r="E10" s="435"/>
      <c r="F10" s="435"/>
      <c r="G10" s="435"/>
      <c r="H10" s="435"/>
      <c r="I10" s="435"/>
      <c r="J10" s="435"/>
    </row>
    <row r="11" spans="1:10" ht="30" customHeight="1">
      <c r="A11" s="435" t="s">
        <v>2</v>
      </c>
      <c r="B11" s="435"/>
      <c r="C11" s="435"/>
      <c r="D11" s="435"/>
      <c r="E11" s="435"/>
      <c r="F11" s="435"/>
      <c r="G11" s="435"/>
      <c r="H11" s="435"/>
      <c r="I11" s="435"/>
      <c r="J11" s="435"/>
    </row>
    <row r="12" spans="1:10" ht="26.25" customHeight="1">
      <c r="A12" s="437" t="s">
        <v>247</v>
      </c>
      <c r="B12" s="435"/>
      <c r="C12" s="435"/>
      <c r="D12" s="435"/>
      <c r="E12" s="435"/>
      <c r="F12" s="435"/>
      <c r="G12" s="435"/>
      <c r="H12" s="435"/>
      <c r="I12" s="435"/>
      <c r="J12" s="435"/>
    </row>
    <row r="13" spans="1:10" ht="40.5" customHeight="1">
      <c r="A13" s="437" t="s">
        <v>239</v>
      </c>
      <c r="B13" s="435"/>
      <c r="C13" s="435"/>
      <c r="D13" s="435"/>
      <c r="E13" s="435"/>
      <c r="F13" s="435"/>
      <c r="G13" s="435"/>
      <c r="H13" s="435"/>
      <c r="I13" s="435"/>
      <c r="J13" s="435"/>
    </row>
    <row r="14" spans="1:10" ht="21" customHeight="1">
      <c r="A14" s="437" t="s">
        <v>241</v>
      </c>
      <c r="B14" s="435"/>
      <c r="C14" s="435"/>
      <c r="D14" s="435"/>
      <c r="E14" s="435"/>
      <c r="F14" s="435"/>
      <c r="G14" s="435"/>
      <c r="H14" s="435"/>
      <c r="I14" s="435"/>
      <c r="J14" s="435"/>
    </row>
    <row r="15" spans="1:10" ht="15" customHeight="1">
      <c r="A15" s="436" t="s">
        <v>3</v>
      </c>
      <c r="B15" s="436"/>
      <c r="C15" s="436"/>
      <c r="D15" s="436"/>
      <c r="E15" s="436"/>
      <c r="F15" s="436"/>
      <c r="G15" s="436"/>
      <c r="H15" s="436"/>
      <c r="I15" s="436"/>
      <c r="J15" s="436"/>
    </row>
    <row r="16" spans="1:10" ht="13.2">
      <c r="A16" s="435"/>
      <c r="B16" s="435"/>
      <c r="C16" s="435"/>
      <c r="D16" s="435"/>
      <c r="E16" s="435"/>
      <c r="F16" s="435"/>
      <c r="G16" s="435"/>
      <c r="H16" s="435"/>
      <c r="I16" s="435"/>
      <c r="J16" s="435"/>
    </row>
    <row r="17" spans="1:10" ht="27" customHeight="1">
      <c r="A17" s="437" t="s">
        <v>248</v>
      </c>
      <c r="B17" s="435"/>
      <c r="C17" s="435"/>
      <c r="D17" s="435"/>
      <c r="E17" s="435"/>
      <c r="F17" s="435"/>
      <c r="G17" s="435"/>
      <c r="H17" s="435"/>
      <c r="I17" s="435"/>
      <c r="J17" s="435"/>
    </row>
    <row r="18" spans="1:10" ht="30" customHeight="1">
      <c r="A18" s="435" t="s">
        <v>4</v>
      </c>
      <c r="B18" s="435"/>
      <c r="C18" s="435"/>
      <c r="D18" s="435"/>
      <c r="E18" s="435"/>
      <c r="F18" s="435"/>
      <c r="G18" s="435"/>
      <c r="H18" s="435"/>
      <c r="I18" s="435"/>
      <c r="J18" s="435"/>
    </row>
    <row r="19" spans="1:10" ht="28.5" customHeight="1">
      <c r="A19" s="435" t="s">
        <v>5</v>
      </c>
      <c r="B19" s="435"/>
      <c r="C19" s="435"/>
      <c r="D19" s="435"/>
      <c r="E19" s="435"/>
      <c r="F19" s="435"/>
      <c r="G19" s="435"/>
      <c r="H19" s="435"/>
      <c r="I19" s="435"/>
      <c r="J19" s="435"/>
    </row>
    <row r="20" spans="1:10" ht="42.75" customHeight="1">
      <c r="A20" s="437" t="s">
        <v>249</v>
      </c>
      <c r="B20" s="435"/>
      <c r="C20" s="435"/>
      <c r="D20" s="435"/>
      <c r="E20" s="435"/>
      <c r="F20" s="435"/>
      <c r="G20" s="435"/>
      <c r="H20" s="435"/>
      <c r="I20" s="435"/>
      <c r="J20" s="435"/>
    </row>
    <row r="21" spans="1:10" ht="36" customHeight="1">
      <c r="A21" s="437" t="s">
        <v>250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ht="24.75" customHeight="1">
      <c r="A22" s="435" t="s">
        <v>6</v>
      </c>
      <c r="B22" s="435"/>
      <c r="C22" s="435"/>
      <c r="D22" s="435"/>
      <c r="E22" s="435"/>
      <c r="F22" s="435"/>
      <c r="G22" s="435"/>
      <c r="H22" s="435"/>
      <c r="I22" s="435"/>
      <c r="J22" s="435"/>
    </row>
    <row r="23" spans="1:10" ht="13.2">
      <c r="A23" s="435"/>
      <c r="B23" s="435"/>
      <c r="C23" s="435"/>
      <c r="D23" s="435"/>
      <c r="E23" s="435"/>
      <c r="F23" s="435"/>
      <c r="G23" s="435"/>
      <c r="H23" s="435"/>
      <c r="I23" s="435"/>
      <c r="J23" s="435"/>
    </row>
    <row r="24" spans="1:10" ht="13.2">
      <c r="A24" s="435"/>
      <c r="B24" s="435"/>
      <c r="C24" s="435"/>
      <c r="D24" s="435"/>
      <c r="E24" s="435"/>
      <c r="F24" s="435"/>
      <c r="G24" s="435"/>
      <c r="H24" s="435"/>
      <c r="I24" s="435"/>
      <c r="J24" s="435"/>
    </row>
    <row r="25" spans="1:10" ht="13.2">
      <c r="A25" s="435"/>
      <c r="B25" s="435"/>
      <c r="C25" s="435"/>
      <c r="D25" s="435"/>
      <c r="E25" s="435"/>
      <c r="F25" s="435"/>
      <c r="G25" s="435"/>
      <c r="H25" s="435"/>
      <c r="I25" s="435"/>
      <c r="J25" s="435"/>
    </row>
    <row r="26" spans="1:10" ht="13.2">
      <c r="A26" s="435"/>
      <c r="B26" s="435"/>
      <c r="C26" s="435"/>
      <c r="D26" s="435"/>
      <c r="E26" s="435"/>
      <c r="F26" s="435"/>
      <c r="G26" s="435"/>
      <c r="H26" s="435"/>
      <c r="I26" s="435"/>
      <c r="J26" s="435"/>
    </row>
    <row r="27" spans="1:10" ht="13.2">
      <c r="A27" s="435"/>
      <c r="B27" s="435"/>
      <c r="C27" s="435"/>
      <c r="D27" s="435"/>
      <c r="E27" s="435"/>
      <c r="F27" s="435"/>
      <c r="G27" s="435"/>
      <c r="H27" s="435"/>
      <c r="I27" s="435"/>
      <c r="J27" s="435"/>
    </row>
    <row r="28" spans="1:10" ht="13.2">
      <c r="A28" s="435"/>
      <c r="B28" s="435"/>
      <c r="C28" s="435"/>
      <c r="D28" s="435"/>
      <c r="E28" s="435"/>
      <c r="F28" s="435"/>
      <c r="G28" s="435"/>
      <c r="H28" s="435"/>
      <c r="I28" s="435"/>
      <c r="J28" s="435"/>
    </row>
    <row r="29" spans="1:10" ht="13.2">
      <c r="A29" s="435"/>
      <c r="B29" s="435"/>
      <c r="C29" s="435"/>
      <c r="D29" s="435"/>
      <c r="E29" s="435"/>
      <c r="F29" s="435"/>
      <c r="G29" s="435"/>
      <c r="H29" s="435"/>
      <c r="I29" s="435"/>
      <c r="J29" s="435"/>
    </row>
  </sheetData>
  <mergeCells count="29">
    <mergeCell ref="A27:J27"/>
    <mergeCell ref="A28:J28"/>
    <mergeCell ref="A29:J29"/>
    <mergeCell ref="A22:J22"/>
    <mergeCell ref="A23:J23"/>
    <mergeCell ref="A24:J24"/>
    <mergeCell ref="A25:J25"/>
    <mergeCell ref="A26:J26"/>
    <mergeCell ref="A21:J2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11:J11"/>
    <mergeCell ref="A1:J1"/>
    <mergeCell ref="A2:J2"/>
    <mergeCell ref="A3:J3"/>
    <mergeCell ref="A4:J4"/>
    <mergeCell ref="A5:J5"/>
    <mergeCell ref="A6:J6"/>
    <mergeCell ref="A7:J7"/>
    <mergeCell ref="A8:J8"/>
    <mergeCell ref="A10:J10"/>
    <mergeCell ref="A9:J9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sqref="A1:C1"/>
    </sheetView>
  </sheetViews>
  <sheetFormatPr defaultColWidth="8.6640625" defaultRowHeight="12.75" customHeight="1"/>
  <cols>
    <col min="1" max="1" width="44.33203125" customWidth="1"/>
    <col min="2" max="2" width="8.44140625" customWidth="1"/>
    <col min="3" max="3" width="11.6640625" customWidth="1"/>
    <col min="4" max="4" width="10.6640625" customWidth="1"/>
    <col min="5" max="5" width="10.5546875" customWidth="1"/>
    <col min="6" max="6" width="10.6640625" customWidth="1"/>
    <col min="7" max="7" width="10.5546875" customWidth="1"/>
    <col min="8" max="8" width="10.6640625" customWidth="1"/>
    <col min="9" max="9" width="10.5546875" customWidth="1"/>
    <col min="10" max="10" width="11" customWidth="1"/>
    <col min="11" max="12" width="10.6640625" customWidth="1"/>
    <col min="13" max="13" width="10.88671875" customWidth="1"/>
    <col min="14" max="14" width="11.44140625" customWidth="1"/>
  </cols>
  <sheetData>
    <row r="1" spans="1:18" ht="22.5" customHeight="1">
      <c r="A1" s="479" t="s">
        <v>1</v>
      </c>
      <c r="B1" s="479"/>
      <c r="C1" s="4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customHeight="1">
      <c r="A2" s="11" t="s">
        <v>195</v>
      </c>
      <c r="B2" s="145"/>
      <c r="C2" s="14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6.25" customHeight="1">
      <c r="A3" s="218" t="s">
        <v>8</v>
      </c>
      <c r="B3" s="103" t="s">
        <v>196</v>
      </c>
      <c r="C3" s="86" t="s">
        <v>22</v>
      </c>
      <c r="D3" s="21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3.2">
      <c r="A4" s="248" t="s">
        <v>197</v>
      </c>
      <c r="B4" s="243" t="s">
        <v>16</v>
      </c>
      <c r="C4" s="62">
        <f>Транспорт!E4</f>
        <v>5500000</v>
      </c>
      <c r="D4" s="21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3.2">
      <c r="A5" s="248" t="s">
        <v>198</v>
      </c>
      <c r="B5" s="243" t="s">
        <v>10</v>
      </c>
      <c r="C5" s="197">
        <v>0.7</v>
      </c>
      <c r="D5" s="21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3.2">
      <c r="A6" s="248" t="s">
        <v>199</v>
      </c>
      <c r="B6" s="243" t="s">
        <v>16</v>
      </c>
      <c r="C6" s="62">
        <f>C4*C5</f>
        <v>3849999.9999999995</v>
      </c>
      <c r="D6" s="21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3.2">
      <c r="A7" s="248" t="s">
        <v>200</v>
      </c>
      <c r="B7" s="243" t="s">
        <v>10</v>
      </c>
      <c r="C7" s="62">
        <v>18</v>
      </c>
      <c r="D7" s="21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3.2">
      <c r="A8" s="248" t="s">
        <v>201</v>
      </c>
      <c r="B8" s="243" t="s">
        <v>202</v>
      </c>
      <c r="C8" s="62">
        <v>36</v>
      </c>
      <c r="D8" s="21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3.2">
      <c r="A9" s="248" t="s">
        <v>203</v>
      </c>
      <c r="B9" s="243" t="s">
        <v>10</v>
      </c>
      <c r="C9" s="62">
        <v>5</v>
      </c>
      <c r="D9" s="21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3.2">
      <c r="A10" s="248" t="s">
        <v>204</v>
      </c>
      <c r="B10" s="243" t="s">
        <v>16</v>
      </c>
      <c r="C10" s="62">
        <v>0</v>
      </c>
      <c r="D10" s="21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3.5" customHeight="1">
      <c r="A11" s="116" t="s">
        <v>205</v>
      </c>
      <c r="B11" s="201" t="s">
        <v>10</v>
      </c>
      <c r="C11" s="4">
        <v>18</v>
      </c>
      <c r="D11" s="21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13.2">
      <c r="A12" s="15"/>
      <c r="B12" s="15"/>
      <c r="C12" s="82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.75" customHeight="1">
      <c r="A13" s="138" t="s">
        <v>206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06"/>
      <c r="P13" s="106"/>
      <c r="Q13" s="106"/>
      <c r="R13" s="106"/>
    </row>
    <row r="14" spans="1:18" ht="25.5" customHeight="1">
      <c r="A14" s="499" t="s">
        <v>8</v>
      </c>
      <c r="B14" s="495" t="s">
        <v>196</v>
      </c>
      <c r="C14" s="502" t="s">
        <v>207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4"/>
      <c r="O14" s="215"/>
      <c r="P14" s="106"/>
      <c r="Q14" s="106"/>
      <c r="R14" s="106"/>
    </row>
    <row r="15" spans="1:18" ht="13.5" customHeight="1">
      <c r="A15" s="500"/>
      <c r="B15" s="501"/>
      <c r="C15" s="68">
        <v>1</v>
      </c>
      <c r="D15" s="68">
        <v>2</v>
      </c>
      <c r="E15" s="68">
        <v>3</v>
      </c>
      <c r="F15" s="68">
        <v>4</v>
      </c>
      <c r="G15" s="68">
        <v>5</v>
      </c>
      <c r="H15" s="68">
        <v>6</v>
      </c>
      <c r="I15" s="68">
        <v>7</v>
      </c>
      <c r="J15" s="68">
        <v>8</v>
      </c>
      <c r="K15" s="68">
        <v>9</v>
      </c>
      <c r="L15" s="68">
        <v>10</v>
      </c>
      <c r="M15" s="68">
        <v>11</v>
      </c>
      <c r="N15" s="112">
        <v>12</v>
      </c>
      <c r="O15" s="215"/>
      <c r="P15" s="106"/>
      <c r="Q15" s="106"/>
      <c r="R15" s="106"/>
    </row>
    <row r="16" spans="1:18" ht="13.2">
      <c r="A16" s="248" t="s">
        <v>208</v>
      </c>
      <c r="B16" s="243" t="s">
        <v>16</v>
      </c>
      <c r="C16" s="157">
        <f t="shared" ref="C16:N16" si="0">IF((C15&lt;=$C$8),($C$6/$C$8),0)</f>
        <v>106944.44444444444</v>
      </c>
      <c r="D16" s="157">
        <f t="shared" si="0"/>
        <v>106944.44444444444</v>
      </c>
      <c r="E16" s="157">
        <f t="shared" si="0"/>
        <v>106944.44444444444</v>
      </c>
      <c r="F16" s="157">
        <f t="shared" si="0"/>
        <v>106944.44444444444</v>
      </c>
      <c r="G16" s="157">
        <f t="shared" si="0"/>
        <v>106944.44444444444</v>
      </c>
      <c r="H16" s="157">
        <f t="shared" si="0"/>
        <v>106944.44444444444</v>
      </c>
      <c r="I16" s="157">
        <f t="shared" si="0"/>
        <v>106944.44444444444</v>
      </c>
      <c r="J16" s="157">
        <f t="shared" si="0"/>
        <v>106944.44444444444</v>
      </c>
      <c r="K16" s="157">
        <f t="shared" si="0"/>
        <v>106944.44444444444</v>
      </c>
      <c r="L16" s="157">
        <f t="shared" si="0"/>
        <v>106944.44444444444</v>
      </c>
      <c r="M16" s="157">
        <f t="shared" si="0"/>
        <v>106944.44444444444</v>
      </c>
      <c r="N16" s="233">
        <f t="shared" si="0"/>
        <v>106944.44444444444</v>
      </c>
      <c r="O16" s="9"/>
      <c r="P16" s="242"/>
      <c r="Q16" s="242"/>
      <c r="R16" s="242"/>
    </row>
    <row r="17" spans="1:18" ht="13.2">
      <c r="A17" s="162" t="s">
        <v>209</v>
      </c>
      <c r="B17" s="243" t="s">
        <v>16</v>
      </c>
      <c r="C17" s="122">
        <f>C6</f>
        <v>3849999.9999999995</v>
      </c>
      <c r="D17" s="122">
        <f t="shared" ref="D17:N17" si="1">C18</f>
        <v>3743055.555555555</v>
      </c>
      <c r="E17" s="122">
        <f t="shared" si="1"/>
        <v>3636111.1111111105</v>
      </c>
      <c r="F17" s="122">
        <f t="shared" si="1"/>
        <v>3529166.666666666</v>
      </c>
      <c r="G17" s="122">
        <f t="shared" si="1"/>
        <v>3422222.2222222215</v>
      </c>
      <c r="H17" s="122">
        <f t="shared" si="1"/>
        <v>3315277.7777777771</v>
      </c>
      <c r="I17" s="122">
        <f t="shared" si="1"/>
        <v>3208333.3333333326</v>
      </c>
      <c r="J17" s="122">
        <f t="shared" si="1"/>
        <v>3101388.8888888881</v>
      </c>
      <c r="K17" s="122">
        <f t="shared" si="1"/>
        <v>2994444.4444444436</v>
      </c>
      <c r="L17" s="122">
        <f t="shared" si="1"/>
        <v>2887499.9999999991</v>
      </c>
      <c r="M17" s="122">
        <f t="shared" si="1"/>
        <v>2780555.5555555546</v>
      </c>
      <c r="N17" s="70">
        <f t="shared" si="1"/>
        <v>2673611.1111111101</v>
      </c>
      <c r="O17" s="9"/>
      <c r="P17" s="242"/>
      <c r="Q17" s="242"/>
      <c r="R17" s="242"/>
    </row>
    <row r="18" spans="1:18" ht="13.2">
      <c r="A18" s="162" t="s">
        <v>210</v>
      </c>
      <c r="B18" s="243" t="s">
        <v>16</v>
      </c>
      <c r="C18" s="122">
        <f t="shared" ref="C18:N18" si="2">C17-C16</f>
        <v>3743055.555555555</v>
      </c>
      <c r="D18" s="122">
        <f t="shared" si="2"/>
        <v>3636111.1111111105</v>
      </c>
      <c r="E18" s="122">
        <f t="shared" si="2"/>
        <v>3529166.666666666</v>
      </c>
      <c r="F18" s="122">
        <f t="shared" si="2"/>
        <v>3422222.2222222215</v>
      </c>
      <c r="G18" s="122">
        <f t="shared" si="2"/>
        <v>3315277.7777777771</v>
      </c>
      <c r="H18" s="122">
        <f t="shared" si="2"/>
        <v>3208333.3333333326</v>
      </c>
      <c r="I18" s="122">
        <f t="shared" si="2"/>
        <v>3101388.8888888881</v>
      </c>
      <c r="J18" s="122">
        <f t="shared" si="2"/>
        <v>2994444.4444444436</v>
      </c>
      <c r="K18" s="122">
        <f t="shared" si="2"/>
        <v>2887499.9999999991</v>
      </c>
      <c r="L18" s="122">
        <f t="shared" si="2"/>
        <v>2780555.5555555546</v>
      </c>
      <c r="M18" s="122">
        <f t="shared" si="2"/>
        <v>2673611.1111111101</v>
      </c>
      <c r="N18" s="70">
        <f t="shared" si="2"/>
        <v>2566666.6666666656</v>
      </c>
      <c r="O18" s="9"/>
      <c r="P18" s="242"/>
      <c r="Q18" s="242"/>
      <c r="R18" s="242"/>
    </row>
    <row r="19" spans="1:18" ht="13.2">
      <c r="A19" s="248" t="s">
        <v>211</v>
      </c>
      <c r="B19" s="243" t="s">
        <v>16</v>
      </c>
      <c r="C19" s="157">
        <f t="shared" ref="C19:N19" si="3">((C17*$C$7)/100)/12</f>
        <v>57749.999999999993</v>
      </c>
      <c r="D19" s="157">
        <f t="shared" si="3"/>
        <v>56145.833333333321</v>
      </c>
      <c r="E19" s="157">
        <f t="shared" si="3"/>
        <v>54541.666666666657</v>
      </c>
      <c r="F19" s="157">
        <f t="shared" si="3"/>
        <v>52937.499999999993</v>
      </c>
      <c r="G19" s="157">
        <f t="shared" si="3"/>
        <v>51333.333333333321</v>
      </c>
      <c r="H19" s="157">
        <f t="shared" si="3"/>
        <v>49729.166666666657</v>
      </c>
      <c r="I19" s="157">
        <f t="shared" si="3"/>
        <v>48124.999999999993</v>
      </c>
      <c r="J19" s="157">
        <f t="shared" si="3"/>
        <v>46520.833333333321</v>
      </c>
      <c r="K19" s="157">
        <f t="shared" si="3"/>
        <v>44916.666666666657</v>
      </c>
      <c r="L19" s="157">
        <f t="shared" si="3"/>
        <v>43312.499999999985</v>
      </c>
      <c r="M19" s="157">
        <f t="shared" si="3"/>
        <v>41708.333333333321</v>
      </c>
      <c r="N19" s="157">
        <f t="shared" si="3"/>
        <v>40104.16666666665</v>
      </c>
      <c r="O19" s="148"/>
      <c r="P19" s="242"/>
      <c r="Q19" s="242"/>
      <c r="R19" s="242"/>
    </row>
    <row r="20" spans="1:18" ht="13.2">
      <c r="A20" s="248" t="s">
        <v>212</v>
      </c>
      <c r="B20" s="243" t="s">
        <v>16</v>
      </c>
      <c r="C20" s="157">
        <f t="shared" ref="C20:N20" si="4">((C17*$C$9)/100)/12</f>
        <v>16041.666666666664</v>
      </c>
      <c r="D20" s="157">
        <f t="shared" si="4"/>
        <v>15596.064814814812</v>
      </c>
      <c r="E20" s="157">
        <f t="shared" si="4"/>
        <v>15150.462962962962</v>
      </c>
      <c r="F20" s="157">
        <f t="shared" si="4"/>
        <v>14704.861111111108</v>
      </c>
      <c r="G20" s="157">
        <f t="shared" si="4"/>
        <v>14259.259259259257</v>
      </c>
      <c r="H20" s="157">
        <f t="shared" si="4"/>
        <v>13813.657407407403</v>
      </c>
      <c r="I20" s="157">
        <f t="shared" si="4"/>
        <v>13368.055555555553</v>
      </c>
      <c r="J20" s="157">
        <f t="shared" si="4"/>
        <v>12922.453703703701</v>
      </c>
      <c r="K20" s="157">
        <f t="shared" si="4"/>
        <v>12476.851851851849</v>
      </c>
      <c r="L20" s="157">
        <f t="shared" si="4"/>
        <v>12031.249999999998</v>
      </c>
      <c r="M20" s="157">
        <f t="shared" si="4"/>
        <v>11585.648148148144</v>
      </c>
      <c r="N20" s="157">
        <f t="shared" si="4"/>
        <v>11140.046296296292</v>
      </c>
      <c r="O20" s="148"/>
      <c r="P20" s="242"/>
      <c r="Q20" s="242"/>
      <c r="R20" s="242"/>
    </row>
    <row r="21" spans="1:18" ht="13.2">
      <c r="A21" s="248" t="s">
        <v>204</v>
      </c>
      <c r="B21" s="243" t="s">
        <v>16</v>
      </c>
      <c r="C21" s="157">
        <f t="shared" ref="C21:N21" si="5">$C$10/$C$8</f>
        <v>0</v>
      </c>
      <c r="D21" s="157">
        <f t="shared" si="5"/>
        <v>0</v>
      </c>
      <c r="E21" s="157">
        <f t="shared" si="5"/>
        <v>0</v>
      </c>
      <c r="F21" s="157">
        <f t="shared" si="5"/>
        <v>0</v>
      </c>
      <c r="G21" s="157">
        <f t="shared" si="5"/>
        <v>0</v>
      </c>
      <c r="H21" s="157">
        <f t="shared" si="5"/>
        <v>0</v>
      </c>
      <c r="I21" s="157">
        <f t="shared" si="5"/>
        <v>0</v>
      </c>
      <c r="J21" s="157">
        <f t="shared" si="5"/>
        <v>0</v>
      </c>
      <c r="K21" s="157">
        <f t="shared" si="5"/>
        <v>0</v>
      </c>
      <c r="L21" s="157">
        <f t="shared" si="5"/>
        <v>0</v>
      </c>
      <c r="M21" s="157">
        <f t="shared" si="5"/>
        <v>0</v>
      </c>
      <c r="N21" s="233">
        <f t="shared" si="5"/>
        <v>0</v>
      </c>
      <c r="O21" s="9"/>
      <c r="P21" s="242"/>
      <c r="Q21" s="242"/>
      <c r="R21" s="242"/>
    </row>
    <row r="22" spans="1:18" ht="13.2">
      <c r="A22" s="248" t="s">
        <v>213</v>
      </c>
      <c r="B22" s="243" t="s">
        <v>16</v>
      </c>
      <c r="C22" s="157">
        <f t="shared" ref="C22:N22" si="6">((((C16+C19)+C20)+C21)*$C$11)/100</f>
        <v>32532.499999999996</v>
      </c>
      <c r="D22" s="157">
        <f t="shared" si="6"/>
        <v>32163.541666666661</v>
      </c>
      <c r="E22" s="157">
        <f t="shared" si="6"/>
        <v>31794.583333333328</v>
      </c>
      <c r="F22" s="157">
        <f t="shared" si="6"/>
        <v>31425.624999999996</v>
      </c>
      <c r="G22" s="157">
        <f t="shared" si="6"/>
        <v>31056.666666666664</v>
      </c>
      <c r="H22" s="157">
        <f t="shared" si="6"/>
        <v>30687.708333333328</v>
      </c>
      <c r="I22" s="157">
        <f t="shared" si="6"/>
        <v>30318.75</v>
      </c>
      <c r="J22" s="157">
        <f t="shared" si="6"/>
        <v>29949.791666666661</v>
      </c>
      <c r="K22" s="157">
        <f t="shared" si="6"/>
        <v>29580.833333333328</v>
      </c>
      <c r="L22" s="157">
        <f t="shared" si="6"/>
        <v>29211.875</v>
      </c>
      <c r="M22" s="157">
        <f t="shared" si="6"/>
        <v>28842.916666666661</v>
      </c>
      <c r="N22" s="233">
        <f t="shared" si="6"/>
        <v>28473.958333333328</v>
      </c>
      <c r="O22" s="9"/>
      <c r="P22" s="242"/>
      <c r="Q22" s="242"/>
      <c r="R22" s="242"/>
    </row>
    <row r="23" spans="1:18" ht="13.5" customHeight="1">
      <c r="A23" s="236" t="s">
        <v>214</v>
      </c>
      <c r="B23" s="201" t="s">
        <v>16</v>
      </c>
      <c r="C23" s="159">
        <f t="shared" ref="C23:N23" si="7">(((C16+C19)+C20)+C21)+C22</f>
        <v>213268.61111111109</v>
      </c>
      <c r="D23" s="159">
        <f t="shared" si="7"/>
        <v>210849.88425925921</v>
      </c>
      <c r="E23" s="159">
        <f t="shared" si="7"/>
        <v>208431.15740740736</v>
      </c>
      <c r="F23" s="159">
        <f t="shared" si="7"/>
        <v>206012.43055555553</v>
      </c>
      <c r="G23" s="159">
        <f t="shared" si="7"/>
        <v>203593.70370370368</v>
      </c>
      <c r="H23" s="159">
        <f t="shared" si="7"/>
        <v>201174.97685185185</v>
      </c>
      <c r="I23" s="159">
        <f t="shared" si="7"/>
        <v>198756.25</v>
      </c>
      <c r="J23" s="159">
        <f t="shared" si="7"/>
        <v>196337.52314814812</v>
      </c>
      <c r="K23" s="159">
        <f t="shared" si="7"/>
        <v>193918.79629629629</v>
      </c>
      <c r="L23" s="159">
        <f t="shared" si="7"/>
        <v>191500.06944444444</v>
      </c>
      <c r="M23" s="159">
        <f t="shared" si="7"/>
        <v>189081.34259259255</v>
      </c>
      <c r="N23" s="196">
        <f t="shared" si="7"/>
        <v>186662.61574074073</v>
      </c>
      <c r="O23" s="9"/>
      <c r="P23" s="242"/>
      <c r="Q23" s="242"/>
      <c r="R23" s="242"/>
    </row>
    <row r="24" spans="1:18" ht="15" customHeight="1">
      <c r="A24" s="182" t="s">
        <v>215</v>
      </c>
      <c r="B24" s="6" t="s">
        <v>16</v>
      </c>
      <c r="C24" s="505">
        <f>SUM(C23:N23)</f>
        <v>2399587.3611111105</v>
      </c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148"/>
      <c r="P24" s="242"/>
      <c r="Q24" s="242"/>
      <c r="R24" s="242"/>
    </row>
    <row r="25" spans="1:18" ht="15.75" customHeight="1">
      <c r="A25" s="93" t="s">
        <v>216</v>
      </c>
      <c r="B25" s="14" t="s">
        <v>10</v>
      </c>
      <c r="C25" s="498">
        <f>(((C24*3)-C6)/C6)*100</f>
        <v>86.980833333333322</v>
      </c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148"/>
      <c r="P25" s="242"/>
      <c r="Q25" s="242"/>
      <c r="R25" s="242"/>
    </row>
    <row r="26" spans="1:18" ht="13.2">
      <c r="A26" s="151"/>
      <c r="B26" s="151"/>
      <c r="C26" s="43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42"/>
      <c r="P26" s="242"/>
      <c r="Q26" s="242"/>
      <c r="R26" s="242"/>
    </row>
    <row r="27" spans="1:18" ht="13.2">
      <c r="A27" s="241" t="s">
        <v>217</v>
      </c>
      <c r="B27" s="241" t="s">
        <v>16</v>
      </c>
      <c r="C27" s="32">
        <v>200000</v>
      </c>
      <c r="D27" s="148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8" ht="13.2">
      <c r="A28" s="172"/>
      <c r="B28" s="172"/>
      <c r="C28" s="80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</row>
  </sheetData>
  <mergeCells count="6">
    <mergeCell ref="C25:N25"/>
    <mergeCell ref="A1:C1"/>
    <mergeCell ref="A14:A15"/>
    <mergeCell ref="B14:B15"/>
    <mergeCell ref="C14:N14"/>
    <mergeCell ref="C24:N24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topLeftCell="A34" workbookViewId="0">
      <selection activeCell="Q43" sqref="Q43"/>
    </sheetView>
  </sheetViews>
  <sheetFormatPr defaultColWidth="8.6640625" defaultRowHeight="12.75" customHeight="1"/>
  <sheetData>
    <row r="1" spans="1:6" ht="12.75" customHeight="1">
      <c r="A1" s="106"/>
      <c r="B1" s="106"/>
      <c r="C1" s="106"/>
      <c r="D1" s="106"/>
      <c r="E1" s="106"/>
      <c r="F1" s="106"/>
    </row>
    <row r="2" spans="1:6" ht="12.75" customHeight="1">
      <c r="A2" s="106"/>
      <c r="B2" s="106"/>
      <c r="C2" s="106"/>
      <c r="D2" s="106"/>
      <c r="E2" s="106"/>
      <c r="F2" s="106"/>
    </row>
    <row r="3" spans="1:6" ht="12.75" customHeight="1">
      <c r="A3" s="106"/>
      <c r="B3" s="106"/>
      <c r="C3" s="106"/>
      <c r="D3" s="106"/>
      <c r="E3" s="106"/>
      <c r="F3" s="106"/>
    </row>
    <row r="4" spans="1:6" ht="12.75" customHeight="1">
      <c r="A4" s="106"/>
      <c r="B4" s="106"/>
      <c r="C4" s="106"/>
      <c r="D4" s="106"/>
      <c r="E4" s="106"/>
      <c r="F4" s="106"/>
    </row>
    <row r="5" spans="1:6" ht="12.75" customHeight="1">
      <c r="A5" s="106"/>
      <c r="B5" s="106"/>
      <c r="C5" s="106"/>
      <c r="D5" s="106"/>
      <c r="E5" s="106"/>
      <c r="F5" s="106"/>
    </row>
    <row r="6" spans="1:6" ht="12.75" customHeight="1">
      <c r="A6" s="106"/>
      <c r="B6" s="106"/>
      <c r="C6" s="106"/>
      <c r="D6" s="106"/>
      <c r="E6" s="106"/>
      <c r="F6" s="106"/>
    </row>
    <row r="7" spans="1:6" ht="12.75" customHeight="1">
      <c r="A7" s="106"/>
      <c r="B7" s="106"/>
      <c r="C7" s="106"/>
      <c r="D7" s="106"/>
      <c r="E7" s="106"/>
      <c r="F7" s="106"/>
    </row>
    <row r="8" spans="1:6" ht="12.75" customHeight="1">
      <c r="A8" s="106"/>
      <c r="B8" s="106"/>
      <c r="C8" s="106"/>
      <c r="D8" s="106"/>
      <c r="E8" s="106"/>
      <c r="F8" s="106"/>
    </row>
    <row r="9" spans="1:6" ht="12.75" customHeight="1">
      <c r="A9" s="106"/>
      <c r="B9" s="106"/>
      <c r="C9" s="106"/>
      <c r="D9" s="106"/>
      <c r="E9" s="106"/>
      <c r="F9" s="106"/>
    </row>
    <row r="10" spans="1:6" ht="12.75" customHeight="1">
      <c r="A10" s="106"/>
      <c r="B10" s="106"/>
      <c r="C10" s="106"/>
      <c r="D10" s="106"/>
      <c r="E10" s="106"/>
      <c r="F10" s="106"/>
    </row>
    <row r="11" spans="1:6" ht="12.75" customHeight="1">
      <c r="A11" s="106"/>
      <c r="B11" s="106"/>
      <c r="C11" s="106"/>
      <c r="D11" s="106"/>
      <c r="E11" s="106"/>
      <c r="F11" s="106"/>
    </row>
    <row r="12" spans="1:6" ht="12.75" customHeight="1">
      <c r="A12" s="106"/>
      <c r="B12" s="106"/>
      <c r="C12" s="106"/>
      <c r="D12" s="106"/>
      <c r="E12" s="106"/>
      <c r="F12" s="106"/>
    </row>
    <row r="13" spans="1:6" ht="12.75" customHeight="1">
      <c r="A13" s="106"/>
      <c r="B13" s="106"/>
      <c r="C13" s="106"/>
      <c r="D13" s="106"/>
      <c r="E13" s="106"/>
      <c r="F13" s="106"/>
    </row>
    <row r="14" spans="1:6" ht="12.75" customHeight="1">
      <c r="A14" s="106"/>
      <c r="B14" s="106"/>
      <c r="C14" s="106"/>
      <c r="D14" s="106"/>
      <c r="E14" s="106"/>
      <c r="F14" s="106"/>
    </row>
    <row r="15" spans="1:6" ht="12.75" customHeight="1">
      <c r="A15" s="106"/>
      <c r="B15" s="106"/>
      <c r="C15" s="106"/>
      <c r="D15" s="106"/>
      <c r="E15" s="106"/>
      <c r="F15" s="106"/>
    </row>
    <row r="16" spans="1:6" ht="12.75" customHeight="1">
      <c r="A16" s="106"/>
      <c r="B16" s="106"/>
      <c r="C16" s="106"/>
      <c r="D16" s="106"/>
      <c r="E16" s="106"/>
      <c r="F16" s="106"/>
    </row>
    <row r="17" spans="1:6" ht="12.75" customHeight="1">
      <c r="A17" s="106"/>
      <c r="B17" s="106"/>
      <c r="C17" s="106"/>
      <c r="D17" s="106"/>
      <c r="E17" s="106"/>
      <c r="F17" s="106"/>
    </row>
    <row r="18" spans="1:6" ht="12.75" customHeight="1">
      <c r="A18" s="106"/>
      <c r="B18" s="106"/>
      <c r="C18" s="106"/>
      <c r="D18" s="106"/>
      <c r="E18" s="106"/>
      <c r="F18" s="106"/>
    </row>
    <row r="19" spans="1:6" ht="12.75" customHeight="1">
      <c r="A19" s="106"/>
      <c r="B19" s="106"/>
      <c r="C19" s="106"/>
      <c r="D19" s="106"/>
      <c r="E19" s="106"/>
      <c r="F19" s="106"/>
    </row>
    <row r="20" spans="1:6" ht="12.75" customHeight="1">
      <c r="A20" s="106"/>
      <c r="B20" s="106"/>
      <c r="C20" s="106"/>
      <c r="D20" s="106"/>
      <c r="E20" s="106"/>
      <c r="F20" s="106"/>
    </row>
  </sheetData>
  <phoneticPr fontId="0" type="noConversion"/>
  <pageMargins left="0.7" right="0.7" top="0.75" bottom="0.75" header="0.3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opLeftCell="A4" workbookViewId="0">
      <selection activeCell="C3" sqref="C3"/>
    </sheetView>
  </sheetViews>
  <sheetFormatPr defaultRowHeight="15" customHeight="1"/>
  <cols>
    <col min="1" max="1" width="49.88671875" style="184" customWidth="1"/>
    <col min="2" max="2" width="10.88671875" style="184" customWidth="1"/>
    <col min="3" max="3" width="15.109375" style="184" customWidth="1"/>
    <col min="4" max="4" width="9.109375" style="194"/>
    <col min="5" max="5" width="10.44140625" style="194" customWidth="1"/>
    <col min="6" max="13" width="9.109375" style="194"/>
  </cols>
  <sheetData>
    <row r="1" spans="1:13" ht="53.25" customHeight="1">
      <c r="A1" s="438" t="s">
        <v>7</v>
      </c>
      <c r="B1" s="438"/>
      <c r="C1" s="438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9.25" customHeight="1">
      <c r="A2" s="176" t="s">
        <v>8</v>
      </c>
      <c r="B2" s="85" t="s">
        <v>9</v>
      </c>
      <c r="C2" s="85" t="s">
        <v>1</v>
      </c>
      <c r="D2" s="4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4" customHeight="1">
      <c r="A3" s="427" t="s">
        <v>259</v>
      </c>
      <c r="B3" s="108" t="s">
        <v>10</v>
      </c>
      <c r="C3" s="120">
        <v>0.15</v>
      </c>
      <c r="D3" s="4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1" customHeight="1">
      <c r="A4" s="219" t="s">
        <v>11</v>
      </c>
      <c r="B4" s="108" t="s">
        <v>10</v>
      </c>
      <c r="C4" s="120">
        <v>0.2</v>
      </c>
      <c r="D4" s="4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33" customHeight="1">
      <c r="A5" s="219" t="s">
        <v>12</v>
      </c>
      <c r="B5" s="108" t="s">
        <v>13</v>
      </c>
      <c r="C5" s="66">
        <v>0.2</v>
      </c>
      <c r="D5" s="4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25.5" customHeight="1">
      <c r="A6" s="219" t="s">
        <v>14</v>
      </c>
      <c r="B6" s="108" t="s">
        <v>13</v>
      </c>
      <c r="C6" s="66">
        <v>0.14000000000000001</v>
      </c>
      <c r="D6" s="4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28.5" customHeight="1">
      <c r="A7" s="136" t="s">
        <v>15</v>
      </c>
      <c r="B7" s="102" t="s">
        <v>16</v>
      </c>
      <c r="C7" s="50">
        <v>350000</v>
      </c>
      <c r="D7" s="4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30.75" customHeight="1">
      <c r="A8" s="219" t="s">
        <v>17</v>
      </c>
      <c r="B8" s="108" t="s">
        <v>18</v>
      </c>
      <c r="C8" s="2">
        <v>300000</v>
      </c>
      <c r="D8" s="4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35.25" customHeight="1">
      <c r="A9" s="219" t="s">
        <v>19</v>
      </c>
      <c r="B9" s="108" t="s">
        <v>16</v>
      </c>
      <c r="C9" s="113">
        <v>100000</v>
      </c>
      <c r="D9" s="4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33" customHeight="1">
      <c r="A10" s="219" t="s">
        <v>20</v>
      </c>
      <c r="B10" s="108" t="s">
        <v>10</v>
      </c>
      <c r="C10" s="120">
        <v>0.1</v>
      </c>
      <c r="D10" s="4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3.2">
      <c r="A11" s="172"/>
      <c r="B11" s="172"/>
      <c r="C11" s="172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3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3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13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13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ht="13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3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13.2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ht="13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</sheetData>
  <mergeCells count="1">
    <mergeCell ref="A1:C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"/>
  <sheetViews>
    <sheetView workbookViewId="0">
      <selection activeCell="C3" sqref="C3:C17"/>
    </sheetView>
  </sheetViews>
  <sheetFormatPr defaultRowHeight="15" customHeight="1"/>
  <cols>
    <col min="1" max="1" width="52.88671875" style="184" customWidth="1"/>
    <col min="2" max="2" width="9.109375" style="184"/>
    <col min="3" max="3" width="23.109375" style="184" customWidth="1"/>
    <col min="4" max="6" width="9.109375" style="184"/>
  </cols>
  <sheetData>
    <row r="1" spans="1:6" ht="15.75" customHeight="1">
      <c r="A1" s="145"/>
      <c r="B1" s="145"/>
      <c r="C1" s="145"/>
      <c r="D1" s="106"/>
      <c r="E1" s="106"/>
      <c r="F1" s="106"/>
    </row>
    <row r="2" spans="1:6" ht="24.75" customHeight="1">
      <c r="A2" s="224" t="s">
        <v>21</v>
      </c>
      <c r="B2" s="143" t="s">
        <v>9</v>
      </c>
      <c r="C2" s="143" t="s">
        <v>22</v>
      </c>
      <c r="D2" s="215"/>
      <c r="E2" s="106"/>
      <c r="F2" s="106"/>
    </row>
    <row r="3" spans="1:6" ht="24.75" customHeight="1">
      <c r="A3" s="51" t="s">
        <v>23</v>
      </c>
      <c r="B3" s="37" t="s">
        <v>24</v>
      </c>
      <c r="C3" s="141">
        <v>5</v>
      </c>
      <c r="D3" s="215"/>
      <c r="E3" s="106"/>
      <c r="F3" s="106"/>
    </row>
    <row r="4" spans="1:6" ht="24.75" customHeight="1">
      <c r="A4" s="51" t="s">
        <v>25</v>
      </c>
      <c r="B4" s="37" t="s">
        <v>16</v>
      </c>
      <c r="C4" s="141">
        <f>Расчёты!C46</f>
        <v>28614296.968094505</v>
      </c>
      <c r="D4" s="215"/>
      <c r="E4" s="106"/>
      <c r="F4" s="106"/>
    </row>
    <row r="5" spans="1:6" ht="24.75" customHeight="1">
      <c r="A5" s="51" t="s">
        <v>26</v>
      </c>
      <c r="B5" s="37" t="s">
        <v>16</v>
      </c>
      <c r="C5" s="141">
        <f>Расчёты!C14</f>
        <v>672000000</v>
      </c>
      <c r="D5" s="215"/>
      <c r="E5" s="106"/>
      <c r="F5" s="106"/>
    </row>
    <row r="6" spans="1:6" ht="24.75" customHeight="1">
      <c r="A6" s="430" t="s">
        <v>27</v>
      </c>
      <c r="B6" s="37" t="s">
        <v>16</v>
      </c>
      <c r="C6" s="141">
        <f>(Расчёты!K14+Расчёты!X14+Расчёты!AK14+Расчёты!AX14+Расчёты!BK14)/C3</f>
        <v>134400000</v>
      </c>
      <c r="D6" s="215"/>
      <c r="E6" s="106"/>
      <c r="F6" s="106"/>
    </row>
    <row r="7" spans="1:6" ht="24.75" customHeight="1">
      <c r="A7" s="51" t="s">
        <v>28</v>
      </c>
      <c r="B7" s="37" t="s">
        <v>16</v>
      </c>
      <c r="C7" s="141">
        <f>Расчёты!C41</f>
        <v>253387470.47186935</v>
      </c>
      <c r="D7" s="215"/>
      <c r="E7" s="106"/>
      <c r="F7" s="106"/>
    </row>
    <row r="8" spans="1:6" ht="24.75" customHeight="1">
      <c r="A8" s="51" t="s">
        <v>29</v>
      </c>
      <c r="B8" s="37" t="s">
        <v>16</v>
      </c>
      <c r="C8" s="141">
        <f>Расчёты!C43</f>
        <v>198651299.14376083</v>
      </c>
      <c r="D8" s="215"/>
      <c r="E8" s="106"/>
      <c r="F8" s="106"/>
    </row>
    <row r="9" spans="1:6" ht="24.75" customHeight="1">
      <c r="A9" s="51" t="s">
        <v>30</v>
      </c>
      <c r="B9" s="37" t="s">
        <v>10</v>
      </c>
      <c r="C9" s="156">
        <f>C7/C5</f>
        <v>0.37706468820218653</v>
      </c>
      <c r="D9" s="215"/>
      <c r="E9" s="106"/>
      <c r="F9" s="106"/>
    </row>
    <row r="10" spans="1:6" ht="24.75" customHeight="1">
      <c r="A10" s="51" t="s">
        <v>31</v>
      </c>
      <c r="B10" s="37" t="s">
        <v>10</v>
      </c>
      <c r="C10" s="156">
        <f>'Исходные данные'!C4</f>
        <v>0.2</v>
      </c>
      <c r="D10" s="215"/>
      <c r="E10" s="106"/>
      <c r="F10" s="106"/>
    </row>
    <row r="11" spans="1:6" ht="24.75" customHeight="1">
      <c r="A11" s="430" t="s">
        <v>32</v>
      </c>
      <c r="B11" s="37" t="s">
        <v>16</v>
      </c>
      <c r="C11" s="141">
        <f>Расчёты!C45</f>
        <v>96944918.8555004</v>
      </c>
      <c r="D11" s="215"/>
      <c r="E11" s="106"/>
      <c r="F11" s="106"/>
    </row>
    <row r="12" spans="1:6" ht="24.75" customHeight="1">
      <c r="A12" s="51" t="s">
        <v>33</v>
      </c>
      <c r="B12" s="37" t="s">
        <v>10</v>
      </c>
      <c r="C12" s="156">
        <f>(C7/C4)/C3</f>
        <v>1.7710550131942875</v>
      </c>
      <c r="D12" s="215"/>
      <c r="E12" s="106"/>
      <c r="F12" s="106"/>
    </row>
    <row r="13" spans="1:6" ht="24.75" customHeight="1">
      <c r="A13" s="430" t="s">
        <v>34</v>
      </c>
      <c r="B13" s="37" t="s">
        <v>10</v>
      </c>
      <c r="C13" s="156">
        <f>C11/C4</f>
        <v>3.3879888422069522</v>
      </c>
      <c r="D13" s="215"/>
      <c r="E13" s="106"/>
      <c r="F13" s="106"/>
    </row>
    <row r="14" spans="1:6" ht="24.75" customHeight="1">
      <c r="A14" s="430" t="s">
        <v>35</v>
      </c>
      <c r="B14" s="37" t="s">
        <v>36</v>
      </c>
      <c r="C14" s="63">
        <f>C11/C4</f>
        <v>3.3879888422069522</v>
      </c>
      <c r="D14" s="215"/>
      <c r="E14" s="106"/>
      <c r="F14" s="106"/>
    </row>
    <row r="15" spans="1:6" ht="24.75" customHeight="1">
      <c r="A15" s="430" t="s">
        <v>37</v>
      </c>
      <c r="B15" s="37" t="s">
        <v>10</v>
      </c>
      <c r="C15" s="413">
        <v>0.76</v>
      </c>
      <c r="D15" s="5"/>
      <c r="E15" s="106"/>
      <c r="F15" s="106"/>
    </row>
    <row r="16" spans="1:6" ht="24.75" customHeight="1">
      <c r="A16" s="51" t="s">
        <v>38</v>
      </c>
      <c r="B16" s="37" t="s">
        <v>39</v>
      </c>
      <c r="C16" s="141">
        <v>30</v>
      </c>
      <c r="D16" s="215"/>
      <c r="E16" s="106"/>
      <c r="F16" s="106"/>
    </row>
    <row r="17" spans="1:6" ht="24.75" customHeight="1">
      <c r="A17" s="51" t="s">
        <v>40</v>
      </c>
      <c r="B17" s="37" t="s">
        <v>39</v>
      </c>
      <c r="C17" s="141">
        <v>36</v>
      </c>
      <c r="D17" s="215"/>
      <c r="E17" s="106"/>
      <c r="F17" s="106"/>
    </row>
    <row r="18" spans="1:6" ht="13.2">
      <c r="A18" s="15"/>
      <c r="B18" s="15"/>
      <c r="C18" s="15"/>
      <c r="D18" s="106"/>
      <c r="E18" s="106"/>
      <c r="F18" s="106"/>
    </row>
    <row r="19" spans="1:6" ht="13.2">
      <c r="A19" s="106"/>
      <c r="B19" s="106"/>
      <c r="C19" s="106"/>
      <c r="D19" s="106"/>
      <c r="E19" s="106"/>
      <c r="F19" s="106"/>
    </row>
    <row r="20" spans="1:6" ht="15.6">
      <c r="A20" s="106"/>
      <c r="B20" s="408"/>
      <c r="C20" s="410"/>
      <c r="D20" s="106"/>
      <c r="E20" s="106"/>
      <c r="F20" s="106"/>
    </row>
    <row r="21" spans="1:6" ht="15" customHeight="1">
      <c r="B21" s="409"/>
      <c r="C21" s="410"/>
    </row>
    <row r="22" spans="1:6" ht="15" customHeight="1">
      <c r="B22" s="409"/>
      <c r="C22" s="411"/>
    </row>
    <row r="23" spans="1:6" ht="15" customHeight="1">
      <c r="B23" s="409"/>
      <c r="C23" s="411"/>
    </row>
    <row r="24" spans="1:6" ht="15" customHeight="1">
      <c r="B24" s="409"/>
      <c r="C24" s="412"/>
    </row>
    <row r="27" spans="1:6" ht="15" customHeight="1">
      <c r="A27" s="415"/>
      <c r="B27" s="409"/>
      <c r="C27" s="414"/>
    </row>
    <row r="28" spans="1:6" ht="15" customHeight="1">
      <c r="A28" s="415"/>
      <c r="B28" s="409"/>
      <c r="C28" s="41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K77"/>
  <sheetViews>
    <sheetView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D10" sqref="D10"/>
    </sheetView>
  </sheetViews>
  <sheetFormatPr defaultColWidth="9.109375" defaultRowHeight="12.75" customHeight="1"/>
  <cols>
    <col min="1" max="1" width="42.6640625" style="110" customWidth="1"/>
    <col min="2" max="2" width="6.6640625" style="250" customWidth="1"/>
    <col min="3" max="3" width="12.109375" style="250" customWidth="1"/>
    <col min="4" max="4" width="12.6640625" style="250" customWidth="1"/>
    <col min="5" max="5" width="11.33203125" style="250" customWidth="1"/>
    <col min="6" max="6" width="12.109375" style="250" customWidth="1"/>
    <col min="7" max="7" width="12.44140625" style="250" customWidth="1"/>
    <col min="8" max="8" width="12.109375" style="250" customWidth="1"/>
    <col min="9" max="9" width="10.5546875" style="250" customWidth="1"/>
    <col min="10" max="11" width="11.6640625" style="250" customWidth="1"/>
    <col min="12" max="12" width="10.6640625" style="250" customWidth="1"/>
    <col min="13" max="13" width="12.44140625" style="250" customWidth="1"/>
    <col min="14" max="14" width="10.88671875" style="250" customWidth="1"/>
    <col min="15" max="15" width="11" style="194" customWidth="1"/>
    <col min="16" max="16" width="10.6640625" style="194" customWidth="1"/>
    <col min="17" max="17" width="11" style="194" customWidth="1"/>
    <col min="18" max="18" width="10.6640625" style="194" customWidth="1"/>
    <col min="19" max="19" width="10.88671875" style="194" customWidth="1"/>
    <col min="20" max="20" width="13.109375" style="250" customWidth="1"/>
    <col min="21" max="21" width="12" style="250" customWidth="1"/>
    <col min="22" max="22" width="10.5546875" style="250" customWidth="1"/>
    <col min="23" max="24" width="12" style="250" customWidth="1"/>
    <col min="25" max="25" width="10.6640625" style="194" customWidth="1"/>
    <col min="26" max="26" width="12.109375" style="194" customWidth="1"/>
    <col min="27" max="27" width="10.5546875" style="194" customWidth="1"/>
    <col min="28" max="28" width="10.6640625" style="194" customWidth="1"/>
    <col min="29" max="29" width="10.33203125" style="194" customWidth="1"/>
    <col min="30" max="31" width="10.6640625" style="194" customWidth="1"/>
    <col min="32" max="32" width="11.33203125" style="194" customWidth="1"/>
    <col min="33" max="33" width="13.33203125" style="194" customWidth="1"/>
    <col min="34" max="34" width="12.33203125" style="194" customWidth="1"/>
    <col min="35" max="35" width="10.88671875" style="194" customWidth="1"/>
    <col min="36" max="37" width="12.33203125" style="194" customWidth="1"/>
    <col min="38" max="38" width="10.44140625" style="194" customWidth="1"/>
    <col min="39" max="39" width="11.88671875" style="194" customWidth="1"/>
    <col min="40" max="40" width="10.6640625" style="194" customWidth="1"/>
    <col min="41" max="41" width="11.44140625" style="194" customWidth="1"/>
    <col min="42" max="42" width="10.6640625" style="194" customWidth="1"/>
    <col min="43" max="43" width="10.5546875" style="194" customWidth="1"/>
    <col min="44" max="44" width="10.6640625" style="194" customWidth="1"/>
    <col min="45" max="45" width="10.88671875" style="194" customWidth="1"/>
    <col min="46" max="47" width="12.33203125" style="194" customWidth="1"/>
    <col min="48" max="48" width="10.6640625" style="194" customWidth="1"/>
    <col min="49" max="49" width="12.109375" style="194" customWidth="1"/>
    <col min="50" max="50" width="12.44140625" style="194" customWidth="1"/>
    <col min="51" max="51" width="10.44140625" style="194" customWidth="1"/>
    <col min="52" max="52" width="11.88671875" style="194" customWidth="1"/>
    <col min="53" max="53" width="10.6640625" style="194" customWidth="1"/>
    <col min="54" max="54" width="11.44140625" style="194" customWidth="1"/>
    <col min="55" max="55" width="10.6640625" style="194" customWidth="1"/>
    <col min="56" max="56" width="10.5546875" style="194" customWidth="1"/>
    <col min="57" max="57" width="10.6640625" style="194" customWidth="1"/>
    <col min="58" max="58" width="10.88671875" style="194" customWidth="1"/>
    <col min="59" max="60" width="12.33203125" style="194" customWidth="1"/>
    <col min="61" max="61" width="10.6640625" style="194" customWidth="1"/>
    <col min="62" max="62" width="12.109375" style="194" customWidth="1"/>
    <col min="63" max="63" width="12.44140625" style="194" customWidth="1"/>
    <col min="65" max="65" width="10" bestFit="1" customWidth="1"/>
  </cols>
  <sheetData>
    <row r="1" spans="1:63" ht="29.25" customHeight="1" thickBot="1">
      <c r="A1" s="443" t="s">
        <v>41</v>
      </c>
      <c r="B1" s="443"/>
      <c r="C1" s="443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398"/>
      <c r="O1" s="399"/>
      <c r="P1" s="399"/>
      <c r="Q1" s="399"/>
      <c r="R1" s="399"/>
      <c r="S1" s="399"/>
      <c r="T1" s="398"/>
      <c r="U1" s="398"/>
      <c r="V1" s="398"/>
      <c r="W1" s="398"/>
      <c r="X1" s="76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</row>
    <row r="2" spans="1:63" ht="18" customHeight="1">
      <c r="A2" s="445" t="s">
        <v>42</v>
      </c>
      <c r="B2" s="448" t="s">
        <v>43</v>
      </c>
      <c r="C2" s="451" t="s">
        <v>44</v>
      </c>
      <c r="D2" s="309">
        <v>0</v>
      </c>
      <c r="E2" s="393">
        <f t="shared" ref="E2:J2" si="0">D2+1</f>
        <v>1</v>
      </c>
      <c r="F2" s="394">
        <f t="shared" si="0"/>
        <v>2</v>
      </c>
      <c r="G2" s="394">
        <f t="shared" si="0"/>
        <v>3</v>
      </c>
      <c r="H2" s="394">
        <f t="shared" si="0"/>
        <v>4</v>
      </c>
      <c r="I2" s="394">
        <f t="shared" si="0"/>
        <v>5</v>
      </c>
      <c r="J2" s="395">
        <f t="shared" si="0"/>
        <v>6</v>
      </c>
      <c r="K2" s="396"/>
      <c r="L2" s="400">
        <f>J2+1</f>
        <v>7</v>
      </c>
      <c r="M2" s="394">
        <f t="shared" ref="M2:W2" si="1">L2+1</f>
        <v>8</v>
      </c>
      <c r="N2" s="118">
        <f t="shared" si="1"/>
        <v>9</v>
      </c>
      <c r="O2" s="118">
        <f t="shared" si="1"/>
        <v>10</v>
      </c>
      <c r="P2" s="118">
        <f t="shared" si="1"/>
        <v>11</v>
      </c>
      <c r="Q2" s="118">
        <f t="shared" si="1"/>
        <v>12</v>
      </c>
      <c r="R2" s="118">
        <f t="shared" si="1"/>
        <v>13</v>
      </c>
      <c r="S2" s="118">
        <f t="shared" si="1"/>
        <v>14</v>
      </c>
      <c r="T2" s="118">
        <f t="shared" si="1"/>
        <v>15</v>
      </c>
      <c r="U2" s="118">
        <f t="shared" si="1"/>
        <v>16</v>
      </c>
      <c r="V2" s="118">
        <f t="shared" si="1"/>
        <v>17</v>
      </c>
      <c r="W2" s="401">
        <f t="shared" si="1"/>
        <v>18</v>
      </c>
      <c r="X2" s="31"/>
      <c r="Y2" s="92">
        <f>W2+1</f>
        <v>19</v>
      </c>
      <c r="Z2" s="118">
        <f t="shared" ref="Z2:AJ2" si="2">Y2+1</f>
        <v>20</v>
      </c>
      <c r="AA2" s="118">
        <f t="shared" si="2"/>
        <v>21</v>
      </c>
      <c r="AB2" s="118">
        <f t="shared" si="2"/>
        <v>22</v>
      </c>
      <c r="AC2" s="118">
        <f t="shared" si="2"/>
        <v>23</v>
      </c>
      <c r="AD2" s="118">
        <f t="shared" si="2"/>
        <v>24</v>
      </c>
      <c r="AE2" s="118">
        <f t="shared" si="2"/>
        <v>25</v>
      </c>
      <c r="AF2" s="118">
        <f t="shared" si="2"/>
        <v>26</v>
      </c>
      <c r="AG2" s="118">
        <f t="shared" si="2"/>
        <v>27</v>
      </c>
      <c r="AH2" s="118">
        <f t="shared" si="2"/>
        <v>28</v>
      </c>
      <c r="AI2" s="118">
        <f t="shared" si="2"/>
        <v>29</v>
      </c>
      <c r="AJ2" s="332">
        <f t="shared" si="2"/>
        <v>30</v>
      </c>
      <c r="AK2" s="31"/>
      <c r="AL2" s="92">
        <f>AJ2+1</f>
        <v>31</v>
      </c>
      <c r="AM2" s="118">
        <f>AL2+1</f>
        <v>32</v>
      </c>
      <c r="AN2" s="118">
        <f>AM2+1</f>
        <v>33</v>
      </c>
      <c r="AO2" s="118">
        <f>AN2+1</f>
        <v>34</v>
      </c>
      <c r="AP2" s="118">
        <f>AO2+1</f>
        <v>35</v>
      </c>
      <c r="AQ2" s="362">
        <v>36</v>
      </c>
      <c r="AR2" s="362">
        <v>37</v>
      </c>
      <c r="AS2" s="362">
        <v>38</v>
      </c>
      <c r="AT2" s="362">
        <v>39</v>
      </c>
      <c r="AU2" s="362">
        <v>40</v>
      </c>
      <c r="AV2" s="362">
        <v>41</v>
      </c>
      <c r="AW2" s="332">
        <v>42</v>
      </c>
      <c r="AX2" s="31"/>
      <c r="AY2" s="92">
        <f>AW2+1</f>
        <v>43</v>
      </c>
      <c r="AZ2" s="118">
        <f>AY2+1</f>
        <v>44</v>
      </c>
      <c r="BA2" s="118">
        <f t="shared" ref="BA2:BJ2" si="3">AZ2+1</f>
        <v>45</v>
      </c>
      <c r="BB2" s="118">
        <f t="shared" si="3"/>
        <v>46</v>
      </c>
      <c r="BC2" s="118">
        <f t="shared" si="3"/>
        <v>47</v>
      </c>
      <c r="BD2" s="118">
        <f t="shared" si="3"/>
        <v>48</v>
      </c>
      <c r="BE2" s="118">
        <f t="shared" si="3"/>
        <v>49</v>
      </c>
      <c r="BF2" s="118">
        <f t="shared" si="3"/>
        <v>50</v>
      </c>
      <c r="BG2" s="118">
        <f t="shared" si="3"/>
        <v>51</v>
      </c>
      <c r="BH2" s="118">
        <f t="shared" si="3"/>
        <v>52</v>
      </c>
      <c r="BI2" s="118">
        <f t="shared" si="3"/>
        <v>53</v>
      </c>
      <c r="BJ2" s="118">
        <f t="shared" si="3"/>
        <v>54</v>
      </c>
      <c r="BK2" s="31"/>
    </row>
    <row r="3" spans="1:63" ht="3.75" customHeight="1">
      <c r="A3" s="446"/>
      <c r="B3" s="449"/>
      <c r="C3" s="452"/>
      <c r="D3" s="310"/>
      <c r="E3" s="296"/>
      <c r="F3" s="144"/>
      <c r="G3" s="144"/>
      <c r="H3" s="144"/>
      <c r="I3" s="144"/>
      <c r="J3" s="77"/>
      <c r="K3" s="109"/>
      <c r="L3" s="149"/>
      <c r="M3" s="144"/>
      <c r="N3" s="144"/>
      <c r="O3" s="21"/>
      <c r="P3" s="21"/>
      <c r="Q3" s="83"/>
      <c r="R3" s="45"/>
      <c r="S3" s="21"/>
      <c r="T3" s="144"/>
      <c r="U3" s="144"/>
      <c r="V3" s="144"/>
      <c r="W3" s="77"/>
      <c r="X3" s="109"/>
      <c r="Y3" s="45"/>
      <c r="Z3" s="21"/>
      <c r="AA3" s="21"/>
      <c r="AB3" s="21"/>
      <c r="AC3" s="235"/>
      <c r="AD3" s="238"/>
      <c r="AE3" s="238"/>
      <c r="AF3" s="238"/>
      <c r="AG3" s="238"/>
      <c r="AH3" s="238"/>
      <c r="AI3" s="238"/>
      <c r="AJ3" s="333"/>
      <c r="AK3" s="220"/>
      <c r="AL3" s="170"/>
      <c r="AM3" s="238"/>
      <c r="AN3" s="238"/>
      <c r="AO3" s="238"/>
      <c r="AP3" s="238"/>
      <c r="AQ3" s="363"/>
      <c r="AR3" s="363"/>
      <c r="AS3" s="363"/>
      <c r="AT3" s="363"/>
      <c r="AU3" s="363"/>
      <c r="AV3" s="363"/>
      <c r="AW3" s="333"/>
      <c r="AX3" s="220"/>
      <c r="AY3" s="170"/>
      <c r="AZ3" s="238"/>
      <c r="BA3" s="238"/>
      <c r="BB3" s="238"/>
      <c r="BC3" s="238"/>
      <c r="BD3" s="363"/>
      <c r="BE3" s="363"/>
      <c r="BF3" s="363"/>
      <c r="BG3" s="363"/>
      <c r="BH3" s="363"/>
      <c r="BI3" s="363"/>
      <c r="BJ3" s="333"/>
      <c r="BK3" s="220"/>
    </row>
    <row r="4" spans="1:63" ht="14.25" customHeight="1">
      <c r="A4" s="447"/>
      <c r="B4" s="450"/>
      <c r="C4" s="453"/>
      <c r="D4" s="311">
        <v>41426</v>
      </c>
      <c r="E4" s="297">
        <v>41456</v>
      </c>
      <c r="F4" s="160">
        <v>41487</v>
      </c>
      <c r="G4" s="160">
        <v>41518</v>
      </c>
      <c r="H4" s="160">
        <v>41548</v>
      </c>
      <c r="I4" s="160">
        <v>41579</v>
      </c>
      <c r="J4" s="121">
        <v>41609</v>
      </c>
      <c r="K4" s="16" t="s">
        <v>45</v>
      </c>
      <c r="L4" s="42">
        <v>41640</v>
      </c>
      <c r="M4" s="160">
        <v>41671</v>
      </c>
      <c r="N4" s="160">
        <v>41699</v>
      </c>
      <c r="O4" s="160">
        <v>41730</v>
      </c>
      <c r="P4" s="160">
        <v>41760</v>
      </c>
      <c r="Q4" s="160">
        <v>41791</v>
      </c>
      <c r="R4" s="160">
        <v>41821</v>
      </c>
      <c r="S4" s="160">
        <v>41852</v>
      </c>
      <c r="T4" s="160">
        <v>41883</v>
      </c>
      <c r="U4" s="160">
        <v>41913</v>
      </c>
      <c r="V4" s="160">
        <v>41944</v>
      </c>
      <c r="W4" s="121">
        <v>41974</v>
      </c>
      <c r="X4" s="16" t="s">
        <v>46</v>
      </c>
      <c r="Y4" s="42">
        <v>42005</v>
      </c>
      <c r="Z4" s="160">
        <v>42036</v>
      </c>
      <c r="AA4" s="160">
        <v>42064</v>
      </c>
      <c r="AB4" s="160">
        <v>42095</v>
      </c>
      <c r="AC4" s="160">
        <v>42125</v>
      </c>
      <c r="AD4" s="160">
        <v>42156</v>
      </c>
      <c r="AE4" s="160">
        <v>42186</v>
      </c>
      <c r="AF4" s="160">
        <v>42217</v>
      </c>
      <c r="AG4" s="160">
        <v>42248</v>
      </c>
      <c r="AH4" s="160">
        <v>42278</v>
      </c>
      <c r="AI4" s="160">
        <v>42309</v>
      </c>
      <c r="AJ4" s="334">
        <v>42339</v>
      </c>
      <c r="AK4" s="16" t="s">
        <v>47</v>
      </c>
      <c r="AL4" s="42">
        <v>42370</v>
      </c>
      <c r="AM4" s="160">
        <v>42401</v>
      </c>
      <c r="AN4" s="160">
        <v>42430</v>
      </c>
      <c r="AO4" s="160">
        <v>42461</v>
      </c>
      <c r="AP4" s="160">
        <v>42491</v>
      </c>
      <c r="AQ4" s="334">
        <v>42522</v>
      </c>
      <c r="AR4" s="334">
        <v>42552</v>
      </c>
      <c r="AS4" s="334">
        <v>42583</v>
      </c>
      <c r="AT4" s="334">
        <v>42614</v>
      </c>
      <c r="AU4" s="334">
        <v>42644</v>
      </c>
      <c r="AV4" s="334">
        <v>42675</v>
      </c>
      <c r="AW4" s="334">
        <v>42705</v>
      </c>
      <c r="AX4" s="91" t="s">
        <v>48</v>
      </c>
      <c r="AY4" s="42">
        <v>42736</v>
      </c>
      <c r="AZ4" s="160">
        <v>42767</v>
      </c>
      <c r="BA4" s="160">
        <v>42795</v>
      </c>
      <c r="BB4" s="160">
        <v>42826</v>
      </c>
      <c r="BC4" s="160">
        <v>42856</v>
      </c>
      <c r="BD4" s="334">
        <v>42887</v>
      </c>
      <c r="BE4" s="334">
        <v>42917</v>
      </c>
      <c r="BF4" s="334">
        <v>42948</v>
      </c>
      <c r="BG4" s="334">
        <v>42979</v>
      </c>
      <c r="BH4" s="334">
        <v>43009</v>
      </c>
      <c r="BI4" s="334">
        <v>43040</v>
      </c>
      <c r="BJ4" s="334">
        <v>43070</v>
      </c>
      <c r="BK4" s="391" t="s">
        <v>236</v>
      </c>
    </row>
    <row r="5" spans="1:63" s="195" customFormat="1" ht="16.5" customHeight="1">
      <c r="A5" s="150" t="s">
        <v>49</v>
      </c>
      <c r="B5" s="237"/>
      <c r="C5" s="285"/>
      <c r="D5" s="312"/>
      <c r="E5" s="298"/>
      <c r="F5" s="237"/>
      <c r="G5" s="237"/>
      <c r="H5" s="237"/>
      <c r="I5" s="237"/>
      <c r="J5" s="119"/>
      <c r="K5" s="46"/>
      <c r="L5" s="34"/>
      <c r="M5" s="237"/>
      <c r="N5" s="237"/>
      <c r="O5" s="174"/>
      <c r="P5" s="174"/>
      <c r="Q5" s="174"/>
      <c r="R5" s="174"/>
      <c r="S5" s="174"/>
      <c r="T5" s="237"/>
      <c r="U5" s="237"/>
      <c r="V5" s="237"/>
      <c r="W5" s="119"/>
      <c r="X5" s="46"/>
      <c r="Y5" s="22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335"/>
      <c r="AK5" s="165"/>
      <c r="AL5" s="22"/>
      <c r="AM5" s="174"/>
      <c r="AN5" s="174"/>
      <c r="AO5" s="174"/>
      <c r="AP5" s="174"/>
      <c r="AQ5" s="364"/>
      <c r="AR5" s="364"/>
      <c r="AS5" s="364"/>
      <c r="AT5" s="364"/>
      <c r="AU5" s="364"/>
      <c r="AV5" s="364"/>
      <c r="AW5" s="335"/>
      <c r="AX5" s="101"/>
      <c r="AY5" s="22"/>
      <c r="AZ5" s="174"/>
      <c r="BA5" s="174"/>
      <c r="BB5" s="174"/>
      <c r="BC5" s="174"/>
      <c r="BD5" s="364"/>
      <c r="BE5" s="364"/>
      <c r="BF5" s="364"/>
      <c r="BG5" s="364"/>
      <c r="BH5" s="364"/>
      <c r="BI5" s="364"/>
      <c r="BJ5" s="335"/>
      <c r="BK5" s="101"/>
    </row>
    <row r="6" spans="1:63" s="195" customFormat="1" ht="17.25" customHeight="1">
      <c r="A6" s="179" t="s">
        <v>50</v>
      </c>
      <c r="B6" s="169" t="s">
        <v>51</v>
      </c>
      <c r="C6" s="286">
        <f>((K6+X6)+AK6)+AX6+BK6</f>
        <v>1920</v>
      </c>
      <c r="D6" s="313">
        <v>0</v>
      </c>
      <c r="E6" s="299">
        <v>2</v>
      </c>
      <c r="F6" s="55">
        <v>4</v>
      </c>
      <c r="G6" s="55">
        <v>8</v>
      </c>
      <c r="H6" s="55">
        <v>10</v>
      </c>
      <c r="I6" s="55">
        <v>12</v>
      </c>
      <c r="J6" s="64">
        <v>12</v>
      </c>
      <c r="K6" s="154">
        <f>SUM(D6:J6)</f>
        <v>48</v>
      </c>
      <c r="L6" s="139">
        <v>12</v>
      </c>
      <c r="M6" s="55">
        <v>12</v>
      </c>
      <c r="N6" s="55">
        <v>18</v>
      </c>
      <c r="O6" s="55">
        <v>18</v>
      </c>
      <c r="P6" s="55">
        <v>18</v>
      </c>
      <c r="Q6" s="55">
        <v>18</v>
      </c>
      <c r="R6" s="55">
        <v>18</v>
      </c>
      <c r="S6" s="55">
        <v>18</v>
      </c>
      <c r="T6" s="55">
        <v>20</v>
      </c>
      <c r="U6" s="55">
        <v>24</v>
      </c>
      <c r="V6" s="55">
        <v>24</v>
      </c>
      <c r="W6" s="64">
        <v>24</v>
      </c>
      <c r="X6" s="154">
        <f>SUM(L6:W6)</f>
        <v>224</v>
      </c>
      <c r="Y6" s="139">
        <v>24</v>
      </c>
      <c r="Z6" s="55">
        <v>24</v>
      </c>
      <c r="AA6" s="55">
        <v>32</v>
      </c>
      <c r="AB6" s="55">
        <v>36</v>
      </c>
      <c r="AC6" s="55">
        <v>36</v>
      </c>
      <c r="AD6" s="55">
        <v>36</v>
      </c>
      <c r="AE6" s="55">
        <v>36</v>
      </c>
      <c r="AF6" s="55">
        <v>36</v>
      </c>
      <c r="AG6" s="55">
        <v>36</v>
      </c>
      <c r="AH6" s="55">
        <v>36</v>
      </c>
      <c r="AI6" s="55">
        <v>36</v>
      </c>
      <c r="AJ6" s="336">
        <v>36</v>
      </c>
      <c r="AK6" s="154">
        <f>SUM(Y6:AJ6)</f>
        <v>404</v>
      </c>
      <c r="AL6" s="139">
        <v>36</v>
      </c>
      <c r="AM6" s="55">
        <v>36</v>
      </c>
      <c r="AN6" s="55">
        <v>44</v>
      </c>
      <c r="AO6" s="55">
        <v>48</v>
      </c>
      <c r="AP6" s="55">
        <v>48</v>
      </c>
      <c r="AQ6" s="55">
        <v>48</v>
      </c>
      <c r="AR6" s="55">
        <v>48</v>
      </c>
      <c r="AS6" s="55">
        <v>48</v>
      </c>
      <c r="AT6" s="55">
        <v>48</v>
      </c>
      <c r="AU6" s="55">
        <v>48</v>
      </c>
      <c r="AV6" s="55">
        <v>48</v>
      </c>
      <c r="AW6" s="336">
        <v>48</v>
      </c>
      <c r="AX6" s="245">
        <f>SUM(AL6:AW6)</f>
        <v>548</v>
      </c>
      <c r="AY6" s="139">
        <v>48</v>
      </c>
      <c r="AZ6" s="55">
        <v>48</v>
      </c>
      <c r="BA6" s="55">
        <v>60</v>
      </c>
      <c r="BB6" s="55">
        <v>60</v>
      </c>
      <c r="BC6" s="55">
        <v>60</v>
      </c>
      <c r="BD6" s="55">
        <v>60</v>
      </c>
      <c r="BE6" s="55">
        <v>60</v>
      </c>
      <c r="BF6" s="55">
        <v>60</v>
      </c>
      <c r="BG6" s="55">
        <v>60</v>
      </c>
      <c r="BH6" s="55">
        <v>60</v>
      </c>
      <c r="BI6" s="55">
        <v>60</v>
      </c>
      <c r="BJ6" s="336">
        <v>60</v>
      </c>
      <c r="BK6" s="245">
        <f>SUM(AY6:BJ6)</f>
        <v>696</v>
      </c>
    </row>
    <row r="7" spans="1:63" s="195" customFormat="1" ht="17.25" customHeight="1">
      <c r="A7" s="179" t="s">
        <v>52</v>
      </c>
      <c r="B7" s="169"/>
      <c r="C7" s="286">
        <f>BK7</f>
        <v>10</v>
      </c>
      <c r="D7" s="313">
        <v>2</v>
      </c>
      <c r="E7" s="299">
        <v>2</v>
      </c>
      <c r="F7" s="55">
        <v>2</v>
      </c>
      <c r="G7" s="55">
        <v>2</v>
      </c>
      <c r="H7" s="55">
        <v>2</v>
      </c>
      <c r="I7" s="55">
        <v>2</v>
      </c>
      <c r="J7" s="64">
        <v>2</v>
      </c>
      <c r="K7" s="154">
        <f>J7</f>
        <v>2</v>
      </c>
      <c r="L7" s="139">
        <v>2</v>
      </c>
      <c r="M7" s="55">
        <v>3</v>
      </c>
      <c r="N7" s="55">
        <v>3</v>
      </c>
      <c r="O7" s="55">
        <v>3</v>
      </c>
      <c r="P7" s="55">
        <v>3</v>
      </c>
      <c r="Q7" s="55">
        <v>3</v>
      </c>
      <c r="R7" s="55">
        <v>3</v>
      </c>
      <c r="S7" s="55">
        <v>4</v>
      </c>
      <c r="T7" s="55">
        <v>4</v>
      </c>
      <c r="U7" s="55">
        <v>4</v>
      </c>
      <c r="V7" s="55">
        <v>4</v>
      </c>
      <c r="W7" s="64">
        <v>4</v>
      </c>
      <c r="X7" s="154">
        <f>W7</f>
        <v>4</v>
      </c>
      <c r="Y7" s="139">
        <v>4</v>
      </c>
      <c r="Z7" s="55">
        <v>6</v>
      </c>
      <c r="AA7" s="55">
        <v>6</v>
      </c>
      <c r="AB7" s="55">
        <v>6</v>
      </c>
      <c r="AC7" s="55">
        <v>6</v>
      </c>
      <c r="AD7" s="55">
        <v>6</v>
      </c>
      <c r="AE7" s="55">
        <v>6</v>
      </c>
      <c r="AF7" s="55">
        <v>6</v>
      </c>
      <c r="AG7" s="55">
        <v>6</v>
      </c>
      <c r="AH7" s="55">
        <v>6</v>
      </c>
      <c r="AI7" s="55">
        <v>6</v>
      </c>
      <c r="AJ7" s="336">
        <v>6</v>
      </c>
      <c r="AK7" s="154">
        <f>AJ7</f>
        <v>6</v>
      </c>
      <c r="AL7" s="139">
        <v>6</v>
      </c>
      <c r="AM7" s="55">
        <v>8</v>
      </c>
      <c r="AN7" s="55">
        <v>8</v>
      </c>
      <c r="AO7" s="55">
        <v>8</v>
      </c>
      <c r="AP7" s="55">
        <v>8</v>
      </c>
      <c r="AQ7" s="55">
        <v>8</v>
      </c>
      <c r="AR7" s="55">
        <v>8</v>
      </c>
      <c r="AS7" s="55">
        <v>8</v>
      </c>
      <c r="AT7" s="55">
        <v>8</v>
      </c>
      <c r="AU7" s="55">
        <v>8</v>
      </c>
      <c r="AV7" s="55">
        <v>8</v>
      </c>
      <c r="AW7" s="336">
        <v>8</v>
      </c>
      <c r="AX7" s="245">
        <f>AW7</f>
        <v>8</v>
      </c>
      <c r="AY7" s="139">
        <v>8</v>
      </c>
      <c r="AZ7" s="55">
        <v>10</v>
      </c>
      <c r="BA7" s="55">
        <v>10</v>
      </c>
      <c r="BB7" s="55">
        <v>8</v>
      </c>
      <c r="BC7" s="55">
        <v>10</v>
      </c>
      <c r="BD7" s="55">
        <v>10</v>
      </c>
      <c r="BE7" s="55">
        <v>10</v>
      </c>
      <c r="BF7" s="55">
        <v>10</v>
      </c>
      <c r="BG7" s="55">
        <v>10</v>
      </c>
      <c r="BH7" s="55">
        <v>10</v>
      </c>
      <c r="BI7" s="55">
        <v>10</v>
      </c>
      <c r="BJ7" s="336">
        <v>10</v>
      </c>
      <c r="BK7" s="245">
        <f>BJ7</f>
        <v>10</v>
      </c>
    </row>
    <row r="8" spans="1:63" s="195" customFormat="1" ht="17.25" customHeight="1">
      <c r="A8" s="179" t="s">
        <v>53</v>
      </c>
      <c r="B8" s="169"/>
      <c r="C8" s="286">
        <f>((K8+X8)+AK8)+AX8+BK8</f>
        <v>10</v>
      </c>
      <c r="D8" s="313">
        <v>2</v>
      </c>
      <c r="E8" s="299"/>
      <c r="F8" s="55"/>
      <c r="G8" s="55"/>
      <c r="H8" s="55"/>
      <c r="I8" s="55"/>
      <c r="J8" s="64"/>
      <c r="K8" s="154">
        <f>SUM(D8:J8)</f>
        <v>2</v>
      </c>
      <c r="L8" s="139">
        <v>1</v>
      </c>
      <c r="M8" s="55"/>
      <c r="N8" s="55"/>
      <c r="O8" s="55"/>
      <c r="P8" s="55"/>
      <c r="Q8" s="55"/>
      <c r="R8" s="55">
        <v>1</v>
      </c>
      <c r="S8" s="55">
        <v>0</v>
      </c>
      <c r="T8" s="55"/>
      <c r="U8" s="55"/>
      <c r="V8" s="55"/>
      <c r="W8" s="64"/>
      <c r="X8" s="154">
        <f>SUM(L8:W8)</f>
        <v>2</v>
      </c>
      <c r="Y8" s="139">
        <v>2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336"/>
      <c r="AK8" s="154">
        <f>SUM(Y8:AJ8)</f>
        <v>2</v>
      </c>
      <c r="AL8" s="139">
        <v>2</v>
      </c>
      <c r="AM8" s="55"/>
      <c r="AN8" s="55"/>
      <c r="AO8" s="55"/>
      <c r="AP8" s="55"/>
      <c r="AQ8" s="286"/>
      <c r="AR8" s="286"/>
      <c r="AS8" s="286"/>
      <c r="AT8" s="286"/>
      <c r="AU8" s="286"/>
      <c r="AV8" s="286"/>
      <c r="AW8" s="336"/>
      <c r="AX8" s="245">
        <f>SUM(AL8:AW8)</f>
        <v>2</v>
      </c>
      <c r="AY8" s="139">
        <v>2</v>
      </c>
      <c r="AZ8" s="55"/>
      <c r="BA8" s="55"/>
      <c r="BB8" s="55"/>
      <c r="BC8" s="55"/>
      <c r="BD8" s="286"/>
      <c r="BE8" s="286"/>
      <c r="BF8" s="286"/>
      <c r="BG8" s="286"/>
      <c r="BH8" s="286"/>
      <c r="BI8" s="286"/>
      <c r="BJ8" s="336"/>
      <c r="BK8" s="245">
        <f>SUM(AY8:BJ8)</f>
        <v>2</v>
      </c>
    </row>
    <row r="9" spans="1:63" s="195" customFormat="1" ht="17.25" customHeight="1">
      <c r="A9" s="179" t="s">
        <v>54</v>
      </c>
      <c r="B9" s="169"/>
      <c r="C9" s="286">
        <f>((K9+X9)+AK9)+AX9+BK9</f>
        <v>5</v>
      </c>
      <c r="D9" s="313">
        <v>1</v>
      </c>
      <c r="E9" s="299"/>
      <c r="F9" s="55"/>
      <c r="G9" s="55"/>
      <c r="H9" s="55"/>
      <c r="I9" s="55"/>
      <c r="J9" s="64"/>
      <c r="K9" s="154">
        <f>SUM(D9:J9)</f>
        <v>1</v>
      </c>
      <c r="L9" s="139">
        <v>0</v>
      </c>
      <c r="M9" s="55">
        <v>1</v>
      </c>
      <c r="N9" s="55"/>
      <c r="O9" s="55"/>
      <c r="P9" s="55"/>
      <c r="Q9" s="55"/>
      <c r="R9" s="55">
        <v>0</v>
      </c>
      <c r="S9" s="55"/>
      <c r="T9" s="55"/>
      <c r="U9" s="55"/>
      <c r="V9" s="55"/>
      <c r="W9" s="64"/>
      <c r="X9" s="154">
        <f>SUM(L9:W9)</f>
        <v>1</v>
      </c>
      <c r="Y9" s="139"/>
      <c r="Z9" s="55">
        <v>1</v>
      </c>
      <c r="AA9" s="55"/>
      <c r="AB9" s="55"/>
      <c r="AC9" s="55"/>
      <c r="AD9" s="55"/>
      <c r="AE9" s="55"/>
      <c r="AF9" s="55"/>
      <c r="AG9" s="55"/>
      <c r="AH9" s="55"/>
      <c r="AI9" s="55"/>
      <c r="AJ9" s="336"/>
      <c r="AK9" s="154">
        <f>SUM(Y9:AJ9)</f>
        <v>1</v>
      </c>
      <c r="AL9" s="139"/>
      <c r="AM9" s="55">
        <v>1</v>
      </c>
      <c r="AN9" s="55"/>
      <c r="AO9" s="55"/>
      <c r="AP9" s="55"/>
      <c r="AQ9" s="286"/>
      <c r="AR9" s="286"/>
      <c r="AS9" s="286"/>
      <c r="AT9" s="286"/>
      <c r="AU9" s="286"/>
      <c r="AV9" s="286"/>
      <c r="AW9" s="336"/>
      <c r="AX9" s="245">
        <f>SUM(AL9:AW9)</f>
        <v>1</v>
      </c>
      <c r="AY9" s="139"/>
      <c r="AZ9" s="55">
        <v>1</v>
      </c>
      <c r="BA9" s="55"/>
      <c r="BB9" s="55"/>
      <c r="BC9" s="55"/>
      <c r="BD9" s="286"/>
      <c r="BE9" s="286"/>
      <c r="BF9" s="286"/>
      <c r="BG9" s="286"/>
      <c r="BH9" s="286"/>
      <c r="BI9" s="286"/>
      <c r="BJ9" s="336"/>
      <c r="BK9" s="245">
        <f>SUM(AY9:BJ9)</f>
        <v>1</v>
      </c>
    </row>
    <row r="10" spans="1:63" s="195" customFormat="1" ht="17.25" customHeight="1">
      <c r="A10" s="179" t="s">
        <v>55</v>
      </c>
      <c r="B10" s="169"/>
      <c r="C10" s="286">
        <f>((K10+X10)+AK10)+AX10+BK10</f>
        <v>10</v>
      </c>
      <c r="D10" s="313">
        <v>0</v>
      </c>
      <c r="E10" s="299"/>
      <c r="F10" s="55"/>
      <c r="G10" s="55"/>
      <c r="H10" s="55"/>
      <c r="I10" s="55"/>
      <c r="J10" s="64"/>
      <c r="K10" s="154">
        <f>SUM(D10:J10)</f>
        <v>0</v>
      </c>
      <c r="L10" s="139">
        <v>1</v>
      </c>
      <c r="M10" s="55"/>
      <c r="N10" s="55"/>
      <c r="O10" s="55"/>
      <c r="P10" s="55"/>
      <c r="Q10" s="55"/>
      <c r="R10" s="55">
        <v>2</v>
      </c>
      <c r="S10" s="55"/>
      <c r="T10" s="55"/>
      <c r="U10" s="55"/>
      <c r="V10" s="55"/>
      <c r="W10" s="64"/>
      <c r="X10" s="154">
        <f>SUM(L10:W10)</f>
        <v>3</v>
      </c>
      <c r="Y10" s="139">
        <v>3</v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336"/>
      <c r="AK10" s="154">
        <f>SUM(Y10:AJ10)</f>
        <v>3</v>
      </c>
      <c r="AL10" s="139">
        <v>2</v>
      </c>
      <c r="AM10" s="55"/>
      <c r="AN10" s="55"/>
      <c r="AO10" s="55"/>
      <c r="AP10" s="55"/>
      <c r="AQ10" s="286"/>
      <c r="AR10" s="286"/>
      <c r="AS10" s="286"/>
      <c r="AT10" s="286"/>
      <c r="AU10" s="286"/>
      <c r="AV10" s="286"/>
      <c r="AW10" s="336"/>
      <c r="AX10" s="245">
        <f>SUM(AL10:AW10)</f>
        <v>2</v>
      </c>
      <c r="AY10" s="139">
        <v>2</v>
      </c>
      <c r="AZ10" s="55"/>
      <c r="BA10" s="55"/>
      <c r="BB10" s="55"/>
      <c r="BC10" s="55"/>
      <c r="BD10" s="286"/>
      <c r="BE10" s="286"/>
      <c r="BF10" s="286"/>
      <c r="BG10" s="286"/>
      <c r="BH10" s="286"/>
      <c r="BI10" s="286"/>
      <c r="BJ10" s="336"/>
      <c r="BK10" s="245">
        <f>SUM(AY10:BJ10)</f>
        <v>2</v>
      </c>
    </row>
    <row r="11" spans="1:63" s="195" customFormat="1" ht="17.25" customHeight="1">
      <c r="A11" s="52" t="s">
        <v>56</v>
      </c>
      <c r="B11" s="169"/>
      <c r="C11" s="286"/>
      <c r="D11" s="313"/>
      <c r="E11" s="299">
        <v>2</v>
      </c>
      <c r="F11" s="55">
        <v>4</v>
      </c>
      <c r="G11" s="55">
        <v>8</v>
      </c>
      <c r="H11" s="55">
        <v>10</v>
      </c>
      <c r="I11" s="55">
        <v>12</v>
      </c>
      <c r="J11" s="64">
        <v>12</v>
      </c>
      <c r="K11" s="154">
        <f>SUM(D11:J11)</f>
        <v>48</v>
      </c>
      <c r="L11" s="139">
        <v>12</v>
      </c>
      <c r="M11" s="55">
        <v>12</v>
      </c>
      <c r="N11" s="55">
        <v>12</v>
      </c>
      <c r="O11" s="55">
        <v>12</v>
      </c>
      <c r="P11" s="55">
        <v>12</v>
      </c>
      <c r="Q11" s="55">
        <v>12</v>
      </c>
      <c r="R11" s="55">
        <v>12</v>
      </c>
      <c r="S11" s="55">
        <v>12</v>
      </c>
      <c r="T11" s="55">
        <v>6</v>
      </c>
      <c r="U11" s="55">
        <v>6</v>
      </c>
      <c r="V11" s="55">
        <v>6</v>
      </c>
      <c r="W11" s="64">
        <v>6</v>
      </c>
      <c r="X11" s="154">
        <f>SUM(L11:W11)</f>
        <v>120</v>
      </c>
      <c r="Y11" s="139">
        <v>6</v>
      </c>
      <c r="Z11" s="55">
        <v>6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336">
        <v>0</v>
      </c>
      <c r="AK11" s="154">
        <f>SUM(Y11:AJ11)</f>
        <v>12</v>
      </c>
      <c r="AL11" s="139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336">
        <v>0</v>
      </c>
      <c r="AX11" s="245">
        <f>SUM(AL11:AW11)</f>
        <v>0</v>
      </c>
      <c r="AY11" s="139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336">
        <v>0</v>
      </c>
      <c r="BK11" s="245">
        <f>SUM(AY11:BJ11)</f>
        <v>0</v>
      </c>
    </row>
    <row r="12" spans="1:63" s="195" customFormat="1" ht="18.75" customHeight="1">
      <c r="A12" s="454" t="s">
        <v>57</v>
      </c>
      <c r="B12" s="455"/>
      <c r="C12" s="456"/>
      <c r="D12" s="314"/>
      <c r="E12" s="300"/>
      <c r="F12" s="65"/>
      <c r="G12" s="65"/>
      <c r="H12" s="65"/>
      <c r="I12" s="65"/>
      <c r="J12" s="209"/>
      <c r="K12" s="154"/>
      <c r="L12" s="53"/>
      <c r="M12" s="65"/>
      <c r="N12" s="65"/>
      <c r="O12" s="203"/>
      <c r="P12" s="203"/>
      <c r="Q12" s="203"/>
      <c r="R12" s="203"/>
      <c r="S12" s="203"/>
      <c r="T12" s="65"/>
      <c r="U12" s="65"/>
      <c r="V12" s="65"/>
      <c r="W12" s="209"/>
      <c r="X12" s="154"/>
      <c r="Y12" s="49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337"/>
      <c r="AK12" s="75"/>
      <c r="AL12" s="49"/>
      <c r="AM12" s="203"/>
      <c r="AN12" s="203"/>
      <c r="AO12" s="203"/>
      <c r="AP12" s="203"/>
      <c r="AQ12" s="365"/>
      <c r="AR12" s="365"/>
      <c r="AS12" s="365"/>
      <c r="AT12" s="365"/>
      <c r="AU12" s="365"/>
      <c r="AV12" s="365"/>
      <c r="AW12" s="337"/>
      <c r="AX12" s="101"/>
      <c r="AY12" s="49"/>
      <c r="AZ12" s="203"/>
      <c r="BA12" s="203"/>
      <c r="BB12" s="203"/>
      <c r="BC12" s="203"/>
      <c r="BD12" s="365"/>
      <c r="BE12" s="365"/>
      <c r="BF12" s="365"/>
      <c r="BG12" s="365"/>
      <c r="BH12" s="365"/>
      <c r="BI12" s="365"/>
      <c r="BJ12" s="337"/>
      <c r="BK12" s="101"/>
    </row>
    <row r="13" spans="1:63" ht="17.25" customHeight="1">
      <c r="A13" s="179" t="s">
        <v>58</v>
      </c>
      <c r="B13" s="169" t="s">
        <v>16</v>
      </c>
      <c r="C13" s="286">
        <f>((K13+X13)+AK13)+AX13+BK13</f>
        <v>672000000</v>
      </c>
      <c r="D13" s="313">
        <v>0</v>
      </c>
      <c r="E13" s="299">
        <f>E6*'Исходные данные'!$C$7</f>
        <v>700000</v>
      </c>
      <c r="F13" s="55">
        <f>F6*'Исходные данные'!$C$7</f>
        <v>1400000</v>
      </c>
      <c r="G13" s="55">
        <f>G6*'Исходные данные'!$C$7</f>
        <v>2800000</v>
      </c>
      <c r="H13" s="55">
        <f>H6*'Исходные данные'!$C$7</f>
        <v>3500000</v>
      </c>
      <c r="I13" s="55">
        <f>I6*'Исходные данные'!$C$7</f>
        <v>4200000</v>
      </c>
      <c r="J13" s="64">
        <f>J6*'Исходные данные'!$C$7</f>
        <v>4200000</v>
      </c>
      <c r="K13" s="154">
        <f>SUM(D13:J13)</f>
        <v>16800000</v>
      </c>
      <c r="L13" s="326">
        <f>L6*'Исходные данные'!$C$7</f>
        <v>4200000</v>
      </c>
      <c r="M13" s="330">
        <f>M6*'Исходные данные'!$C$7</f>
        <v>4200000</v>
      </c>
      <c r="N13" s="330">
        <f>N6*'Исходные данные'!$C$7</f>
        <v>6300000</v>
      </c>
      <c r="O13" s="330">
        <f>O6*'Исходные данные'!$C$7</f>
        <v>6300000</v>
      </c>
      <c r="P13" s="330">
        <f>P6*'Исходные данные'!$C$7</f>
        <v>6300000</v>
      </c>
      <c r="Q13" s="330">
        <f>Q6*'Исходные данные'!$C$7</f>
        <v>6300000</v>
      </c>
      <c r="R13" s="330">
        <f>R6*'Исходные данные'!$C$7</f>
        <v>6300000</v>
      </c>
      <c r="S13" s="330">
        <f>S6*'Исходные данные'!$C$7</f>
        <v>6300000</v>
      </c>
      <c r="T13" s="330">
        <f>T6*'Исходные данные'!$C$7</f>
        <v>7000000</v>
      </c>
      <c r="U13" s="330">
        <f>U6*'Исходные данные'!$C$7</f>
        <v>8400000</v>
      </c>
      <c r="V13" s="330">
        <f>V6*'Исходные данные'!$C$7</f>
        <v>8400000</v>
      </c>
      <c r="W13" s="402">
        <f>W6*'Исходные данные'!$C$7</f>
        <v>8400000</v>
      </c>
      <c r="X13" s="154">
        <f>SUM(L13:W13)</f>
        <v>78400000</v>
      </c>
      <c r="Y13" s="326">
        <f>Y6*'Исходные данные'!$C$7</f>
        <v>8400000</v>
      </c>
      <c r="Z13" s="330">
        <f>Z6*'Исходные данные'!$C$7</f>
        <v>8400000</v>
      </c>
      <c r="AA13" s="330">
        <f>AA6*'Исходные данные'!$C$7</f>
        <v>11200000</v>
      </c>
      <c r="AB13" s="330">
        <f>AB6*'Исходные данные'!$C$7</f>
        <v>12600000</v>
      </c>
      <c r="AC13" s="330">
        <f>AC6*'Исходные данные'!$C$7</f>
        <v>12600000</v>
      </c>
      <c r="AD13" s="330">
        <f>AD6*'Исходные данные'!$C$7</f>
        <v>12600000</v>
      </c>
      <c r="AE13" s="330">
        <f>AE6*'Исходные данные'!$C$7</f>
        <v>12600000</v>
      </c>
      <c r="AF13" s="330">
        <f>AF6*'Исходные данные'!$C$7</f>
        <v>12600000</v>
      </c>
      <c r="AG13" s="330">
        <f>AG6*'Исходные данные'!$C$7</f>
        <v>12600000</v>
      </c>
      <c r="AH13" s="330">
        <f>AH6*'Исходные данные'!$C$7</f>
        <v>12600000</v>
      </c>
      <c r="AI13" s="330">
        <f>AI6*'Исходные данные'!$C$7</f>
        <v>12600000</v>
      </c>
      <c r="AJ13" s="338">
        <f>AJ6*'Исходные данные'!$C$7</f>
        <v>12600000</v>
      </c>
      <c r="AK13" s="154">
        <f>SUM(Y13:AJ13)</f>
        <v>141400000</v>
      </c>
      <c r="AL13" s="326">
        <f>AL6*'Исходные данные'!$C$7</f>
        <v>12600000</v>
      </c>
      <c r="AM13" s="330">
        <f>AM6*'Исходные данные'!$C$7</f>
        <v>12600000</v>
      </c>
      <c r="AN13" s="330">
        <f>AN6*'Исходные данные'!$C$7</f>
        <v>15400000</v>
      </c>
      <c r="AO13" s="330">
        <f>AO6*'Исходные данные'!$C$7</f>
        <v>16800000</v>
      </c>
      <c r="AP13" s="330">
        <f>AP6*'Исходные данные'!$C$7</f>
        <v>16800000</v>
      </c>
      <c r="AQ13" s="330">
        <f>AQ6*'Исходные данные'!$C$7</f>
        <v>16800000</v>
      </c>
      <c r="AR13" s="330">
        <f>AR6*'Исходные данные'!$C$7</f>
        <v>16800000</v>
      </c>
      <c r="AS13" s="330">
        <f>AS6*'Исходные данные'!$C$7</f>
        <v>16800000</v>
      </c>
      <c r="AT13" s="330">
        <f>AT6*'Исходные данные'!$C$7</f>
        <v>16800000</v>
      </c>
      <c r="AU13" s="330">
        <f>AU6*'Исходные данные'!$C$7</f>
        <v>16800000</v>
      </c>
      <c r="AV13" s="330">
        <f>AV6*'Исходные данные'!$C$7</f>
        <v>16800000</v>
      </c>
      <c r="AW13" s="338">
        <f>AW6*'Исходные данные'!$C$7</f>
        <v>16800000</v>
      </c>
      <c r="AX13" s="245">
        <f>SUM(AL13:AW13)</f>
        <v>191800000</v>
      </c>
      <c r="AY13" s="326">
        <f>AY6*'Исходные данные'!$C$7</f>
        <v>16800000</v>
      </c>
      <c r="AZ13" s="330">
        <f>AZ6*'Исходные данные'!$C$7</f>
        <v>16800000</v>
      </c>
      <c r="BA13" s="330">
        <f>BA6*'Исходные данные'!$C$7</f>
        <v>21000000</v>
      </c>
      <c r="BB13" s="330">
        <f>BB6*'Исходные данные'!$C$7</f>
        <v>21000000</v>
      </c>
      <c r="BC13" s="330">
        <f>BC6*'Исходные данные'!$C$7</f>
        <v>21000000</v>
      </c>
      <c r="BD13" s="330">
        <f>BD6*'Исходные данные'!$C$7</f>
        <v>21000000</v>
      </c>
      <c r="BE13" s="330">
        <f>BE6*'Исходные данные'!$C$7</f>
        <v>21000000</v>
      </c>
      <c r="BF13" s="330">
        <f>BF6*'Исходные данные'!$C$7</f>
        <v>21000000</v>
      </c>
      <c r="BG13" s="330">
        <f>BG6*'Исходные данные'!$C$7</f>
        <v>21000000</v>
      </c>
      <c r="BH13" s="330">
        <f>BH6*'Исходные данные'!$C$7</f>
        <v>21000000</v>
      </c>
      <c r="BI13" s="330">
        <f>BI6*'Исходные данные'!$C$7</f>
        <v>21000000</v>
      </c>
      <c r="BJ13" s="338">
        <f>BJ6*'Исходные данные'!$C$7</f>
        <v>21000000</v>
      </c>
      <c r="BK13" s="245">
        <f>SUM(AY13:BJ13)</f>
        <v>243600000</v>
      </c>
    </row>
    <row r="14" spans="1:63" s="194" customFormat="1" ht="13.5" customHeight="1">
      <c r="A14" s="72" t="s">
        <v>59</v>
      </c>
      <c r="B14" s="204"/>
      <c r="C14" s="287">
        <f>((K14+X14)+AK14)+AX14+BK14</f>
        <v>672000000</v>
      </c>
      <c r="D14" s="314">
        <f t="shared" ref="D14:J14" si="4">D13</f>
        <v>0</v>
      </c>
      <c r="E14" s="300">
        <f t="shared" si="4"/>
        <v>700000</v>
      </c>
      <c r="F14" s="65">
        <f t="shared" si="4"/>
        <v>1400000</v>
      </c>
      <c r="G14" s="65">
        <f t="shared" si="4"/>
        <v>2800000</v>
      </c>
      <c r="H14" s="65">
        <f t="shared" si="4"/>
        <v>3500000</v>
      </c>
      <c r="I14" s="65">
        <f t="shared" si="4"/>
        <v>4200000</v>
      </c>
      <c r="J14" s="209">
        <f t="shared" si="4"/>
        <v>4200000</v>
      </c>
      <c r="K14" s="154">
        <f>SUM(D14:J14)</f>
        <v>16800000</v>
      </c>
      <c r="L14" s="53">
        <f t="shared" ref="L14:W14" si="5">L13</f>
        <v>4200000</v>
      </c>
      <c r="M14" s="65">
        <f t="shared" si="5"/>
        <v>4200000</v>
      </c>
      <c r="N14" s="65">
        <f t="shared" si="5"/>
        <v>6300000</v>
      </c>
      <c r="O14" s="65">
        <f t="shared" si="5"/>
        <v>6300000</v>
      </c>
      <c r="P14" s="65">
        <f t="shared" si="5"/>
        <v>6300000</v>
      </c>
      <c r="Q14" s="65">
        <f t="shared" si="5"/>
        <v>6300000</v>
      </c>
      <c r="R14" s="65">
        <f t="shared" si="5"/>
        <v>6300000</v>
      </c>
      <c r="S14" s="65">
        <f t="shared" si="5"/>
        <v>6300000</v>
      </c>
      <c r="T14" s="65">
        <f t="shared" si="5"/>
        <v>7000000</v>
      </c>
      <c r="U14" s="65">
        <f t="shared" si="5"/>
        <v>8400000</v>
      </c>
      <c r="V14" s="65">
        <f t="shared" si="5"/>
        <v>8400000</v>
      </c>
      <c r="W14" s="209">
        <f t="shared" si="5"/>
        <v>8400000</v>
      </c>
      <c r="X14" s="154">
        <f>SUM(L14:W14)</f>
        <v>78400000</v>
      </c>
      <c r="Y14" s="53">
        <f t="shared" ref="Y14:AJ14" si="6">Y13</f>
        <v>8400000</v>
      </c>
      <c r="Z14" s="65">
        <f t="shared" si="6"/>
        <v>8400000</v>
      </c>
      <c r="AA14" s="65">
        <f t="shared" si="6"/>
        <v>11200000</v>
      </c>
      <c r="AB14" s="65">
        <f t="shared" si="6"/>
        <v>12600000</v>
      </c>
      <c r="AC14" s="65">
        <f t="shared" si="6"/>
        <v>12600000</v>
      </c>
      <c r="AD14" s="65">
        <f t="shared" si="6"/>
        <v>12600000</v>
      </c>
      <c r="AE14" s="65">
        <f t="shared" si="6"/>
        <v>12600000</v>
      </c>
      <c r="AF14" s="65">
        <f t="shared" si="6"/>
        <v>12600000</v>
      </c>
      <c r="AG14" s="65">
        <f t="shared" si="6"/>
        <v>12600000</v>
      </c>
      <c r="AH14" s="65">
        <f t="shared" si="6"/>
        <v>12600000</v>
      </c>
      <c r="AI14" s="65">
        <f t="shared" si="6"/>
        <v>12600000</v>
      </c>
      <c r="AJ14" s="339">
        <f t="shared" si="6"/>
        <v>12600000</v>
      </c>
      <c r="AK14" s="154">
        <f>SUM(Y14:AJ14)</f>
        <v>141400000</v>
      </c>
      <c r="AL14" s="53">
        <f t="shared" ref="AL14:AW14" si="7">AL13</f>
        <v>12600000</v>
      </c>
      <c r="AM14" s="65">
        <f t="shared" si="7"/>
        <v>12600000</v>
      </c>
      <c r="AN14" s="65">
        <f t="shared" si="7"/>
        <v>15400000</v>
      </c>
      <c r="AO14" s="65">
        <f t="shared" si="7"/>
        <v>16800000</v>
      </c>
      <c r="AP14" s="65">
        <f t="shared" si="7"/>
        <v>16800000</v>
      </c>
      <c r="AQ14" s="65">
        <f t="shared" si="7"/>
        <v>16800000</v>
      </c>
      <c r="AR14" s="65">
        <f t="shared" si="7"/>
        <v>16800000</v>
      </c>
      <c r="AS14" s="65">
        <f t="shared" si="7"/>
        <v>16800000</v>
      </c>
      <c r="AT14" s="65">
        <f t="shared" si="7"/>
        <v>16800000</v>
      </c>
      <c r="AU14" s="65">
        <f t="shared" si="7"/>
        <v>16800000</v>
      </c>
      <c r="AV14" s="65">
        <f t="shared" si="7"/>
        <v>16800000</v>
      </c>
      <c r="AW14" s="339">
        <f t="shared" si="7"/>
        <v>16800000</v>
      </c>
      <c r="AX14" s="245">
        <f>SUM(AL14:AW14)</f>
        <v>191800000</v>
      </c>
      <c r="AY14" s="53">
        <f t="shared" ref="AY14:BJ14" si="8">AY13</f>
        <v>16800000</v>
      </c>
      <c r="AZ14" s="65">
        <f t="shared" si="8"/>
        <v>16800000</v>
      </c>
      <c r="BA14" s="65">
        <f t="shared" si="8"/>
        <v>21000000</v>
      </c>
      <c r="BB14" s="65">
        <f t="shared" si="8"/>
        <v>21000000</v>
      </c>
      <c r="BC14" s="65">
        <f t="shared" si="8"/>
        <v>21000000</v>
      </c>
      <c r="BD14" s="65">
        <f t="shared" si="8"/>
        <v>21000000</v>
      </c>
      <c r="BE14" s="65">
        <f t="shared" si="8"/>
        <v>21000000</v>
      </c>
      <c r="BF14" s="65">
        <f t="shared" si="8"/>
        <v>21000000</v>
      </c>
      <c r="BG14" s="65">
        <f t="shared" si="8"/>
        <v>21000000</v>
      </c>
      <c r="BH14" s="65">
        <f t="shared" si="8"/>
        <v>21000000</v>
      </c>
      <c r="BI14" s="65">
        <f t="shared" si="8"/>
        <v>21000000</v>
      </c>
      <c r="BJ14" s="339">
        <f t="shared" si="8"/>
        <v>21000000</v>
      </c>
      <c r="BK14" s="245">
        <f>SUM(AY14:BJ14)</f>
        <v>243600000</v>
      </c>
    </row>
    <row r="15" spans="1:63" ht="19.5" customHeight="1">
      <c r="A15" s="439" t="s">
        <v>60</v>
      </c>
      <c r="B15" s="440"/>
      <c r="C15" s="441"/>
      <c r="D15" s="315"/>
      <c r="E15" s="301"/>
      <c r="F15" s="123"/>
      <c r="G15" s="123"/>
      <c r="H15" s="123"/>
      <c r="I15" s="123"/>
      <c r="J15" s="57"/>
      <c r="K15" s="154"/>
      <c r="L15" s="244"/>
      <c r="M15" s="130"/>
      <c r="N15" s="130"/>
      <c r="O15" s="222"/>
      <c r="P15" s="222"/>
      <c r="Q15" s="222"/>
      <c r="R15" s="222"/>
      <c r="S15" s="222"/>
      <c r="T15" s="123"/>
      <c r="U15" s="130"/>
      <c r="V15" s="130"/>
      <c r="W15" s="403"/>
      <c r="X15" s="208"/>
      <c r="Y15" s="20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40"/>
      <c r="AK15" s="84"/>
      <c r="AL15" s="20"/>
      <c r="AM15" s="222"/>
      <c r="AN15" s="222"/>
      <c r="AO15" s="222"/>
      <c r="AP15" s="222"/>
      <c r="AQ15" s="366"/>
      <c r="AR15" s="366"/>
      <c r="AS15" s="366"/>
      <c r="AT15" s="366"/>
      <c r="AU15" s="366"/>
      <c r="AV15" s="366"/>
      <c r="AW15" s="340"/>
      <c r="AX15" s="220"/>
      <c r="AY15" s="20"/>
      <c r="AZ15" s="222"/>
      <c r="BA15" s="222"/>
      <c r="BB15" s="222"/>
      <c r="BC15" s="222"/>
      <c r="BD15" s="366"/>
      <c r="BE15" s="366"/>
      <c r="BF15" s="366"/>
      <c r="BG15" s="366"/>
      <c r="BH15" s="366"/>
      <c r="BI15" s="366"/>
      <c r="BJ15" s="340"/>
      <c r="BK15" s="220"/>
    </row>
    <row r="16" spans="1:63" s="194" customFormat="1" ht="13.2">
      <c r="A16" s="153" t="s">
        <v>61</v>
      </c>
      <c r="B16" s="169" t="s">
        <v>16</v>
      </c>
      <c r="C16" s="286"/>
      <c r="D16" s="313">
        <f>База!G40/1.18</f>
        <v>1436440.6779661018</v>
      </c>
      <c r="E16" s="299">
        <f>((Оборудование!$E$14/1.18)*$D$8)+$D$16</f>
        <v>5199152.5423728814</v>
      </c>
      <c r="F16" s="55">
        <f>((Оборудование!$E$14/1.18)*$D$8)+$D$16</f>
        <v>5199152.5423728814</v>
      </c>
      <c r="G16" s="55">
        <f>((Оборудование!$E$14/1.18)*$D$8)+$D$16</f>
        <v>5199152.5423728814</v>
      </c>
      <c r="H16" s="55">
        <f>((Оборудование!$E$14/1.18)*$D$8)+$D$16</f>
        <v>5199152.5423728814</v>
      </c>
      <c r="I16" s="55">
        <f>((Оборудование!$E$14/1.18)*$D$8)+$D$16</f>
        <v>5199152.5423728814</v>
      </c>
      <c r="J16" s="64">
        <f>((Оборудование!$E$14/1.18)*$D$8)+$D$16</f>
        <v>5199152.5423728814</v>
      </c>
      <c r="K16" s="154"/>
      <c r="L16" s="139">
        <f>((Оборудование!$E$14/1.18)*$D$8)+$D$16</f>
        <v>5199152.5423728814</v>
      </c>
      <c r="M16" s="55">
        <f>((Оборудование!$E$14/1.18)*$D$8)+$D$16</f>
        <v>5199152.5423728814</v>
      </c>
      <c r="N16" s="55">
        <f>$J$16+((Оборудование!$E$14/1.18)*Расчёты!$L$8)</f>
        <v>7080508.4745762711</v>
      </c>
      <c r="O16" s="55">
        <f>$J$16+((Оборудование!$E$14/1.18)*Расчёты!$L$8)</f>
        <v>7080508.4745762711</v>
      </c>
      <c r="P16" s="55">
        <f>$J$16+((Оборудование!$E$14/1.18)*Расчёты!$L$8)</f>
        <v>7080508.4745762711</v>
      </c>
      <c r="Q16" s="55">
        <f>$J$16+((Оборудование!$E$14/1.18)*Расчёты!$L$8)</f>
        <v>7080508.4745762711</v>
      </c>
      <c r="R16" s="55">
        <f>$J$16+((Оборудование!$E$14/1.18)*Расчёты!$L$8)</f>
        <v>7080508.4745762711</v>
      </c>
      <c r="S16" s="55">
        <f>$J$16+((Оборудование!$E$14/1.18)*Расчёты!$L$8)</f>
        <v>7080508.4745762711</v>
      </c>
      <c r="T16" s="55">
        <f>$S$16+((Оборудование!$E$14/1.18)*Расчёты!$R$8)</f>
        <v>8961864.4067796618</v>
      </c>
      <c r="U16" s="55">
        <f>$S$16+((Оборудование!$E$14/1.18)*Расчёты!$R$8)</f>
        <v>8961864.4067796618</v>
      </c>
      <c r="V16" s="55">
        <f>$S$16+((Оборудование!$E$14/1.18)*Расчёты!$R$8)</f>
        <v>8961864.4067796618</v>
      </c>
      <c r="W16" s="404">
        <f>$S$16+((Оборудование!$E$14/1.18)*Расчёты!$R$8)</f>
        <v>8961864.4067796618</v>
      </c>
      <c r="X16" s="346"/>
      <c r="Y16" s="139">
        <f>$S$16+((Оборудование!$E$14/1.18)*Расчёты!$R$8)</f>
        <v>8961864.4067796618</v>
      </c>
      <c r="Z16" s="55">
        <f>$S$16+((Оборудование!$E$14/1.18)*Расчёты!$R$8)</f>
        <v>8961864.4067796618</v>
      </c>
      <c r="AA16" s="55">
        <f>$Z$16+((Оборудование!$E$14/1.18)*Расчёты!$Y$8)</f>
        <v>12724576.271186441</v>
      </c>
      <c r="AB16" s="55">
        <f>$Z$16+((Оборудование!$E$14/1.18)*Расчёты!$Y$8)</f>
        <v>12724576.271186441</v>
      </c>
      <c r="AC16" s="55">
        <f>$Z$16+((Оборудование!$E$14/1.18)*Расчёты!$Y$8)</f>
        <v>12724576.271186441</v>
      </c>
      <c r="AD16" s="55">
        <f>$Z$16+((Оборудование!$E$14/1.18)*Расчёты!$Y$8)</f>
        <v>12724576.271186441</v>
      </c>
      <c r="AE16" s="55">
        <f>$Z$16+((Оборудование!$E$14/1.18)*Расчёты!$Y$8)</f>
        <v>12724576.271186441</v>
      </c>
      <c r="AF16" s="55">
        <f>$Z$16+((Оборудование!$E$14/1.18)*Расчёты!$Y$8)</f>
        <v>12724576.271186441</v>
      </c>
      <c r="AG16" s="55">
        <f>$Z$16+((Оборудование!$E$14/1.18)*Расчёты!$Y$8)</f>
        <v>12724576.271186441</v>
      </c>
      <c r="AH16" s="55">
        <f>$Z$16+((Оборудование!$E$14/1.18)*Расчёты!$Y$8)</f>
        <v>12724576.271186441</v>
      </c>
      <c r="AI16" s="55">
        <f>$Z$16+((Оборудование!$E$14/1.18)*Расчёты!$Y$8)</f>
        <v>12724576.271186441</v>
      </c>
      <c r="AJ16" s="286">
        <f>$Z$16+((Оборудование!$E$14/1.18)*Расчёты!$Y$8)</f>
        <v>12724576.271186441</v>
      </c>
      <c r="AK16" s="346"/>
      <c r="AL16" s="139">
        <f>$Z$16+((Оборудование!$E$14/1.18)*Расчёты!$Y$8)</f>
        <v>12724576.271186441</v>
      </c>
      <c r="AM16" s="55">
        <f>$Z$16+((Оборудование!$E$14/1.18)*Расчёты!$Y$8)</f>
        <v>12724576.271186441</v>
      </c>
      <c r="AN16" s="55">
        <f>$AM$16+((Оборудование!$E$14/1.18)*Расчёты!$AL$8)</f>
        <v>16487288.135593221</v>
      </c>
      <c r="AO16" s="55">
        <f>$AM$16+((Оборудование!$E$14/1.18)*Расчёты!$AL$8)</f>
        <v>16487288.135593221</v>
      </c>
      <c r="AP16" s="55">
        <f>$AM$16+((Оборудование!$E$14/1.18)*Расчёты!$AL$8)</f>
        <v>16487288.135593221</v>
      </c>
      <c r="AQ16" s="55">
        <f>$AM$16+((Оборудование!$E$14/1.18)*Расчёты!$AL$8)</f>
        <v>16487288.135593221</v>
      </c>
      <c r="AR16" s="55">
        <f>$AM$16+((Оборудование!$E$14/1.18)*Расчёты!$AL$8)</f>
        <v>16487288.135593221</v>
      </c>
      <c r="AS16" s="55">
        <f>$AM$16+((Оборудование!$E$14/1.18)*Расчёты!$AL$8)</f>
        <v>16487288.135593221</v>
      </c>
      <c r="AT16" s="55">
        <f>$AM$16+((Оборудование!$E$14/1.18)*Расчёты!$AL$8)</f>
        <v>16487288.135593221</v>
      </c>
      <c r="AU16" s="55">
        <f>$AM$16+((Оборудование!$E$14/1.18)*Расчёты!$AL$8)</f>
        <v>16487288.135593221</v>
      </c>
      <c r="AV16" s="55">
        <f>$AM$16+((Оборудование!$E$14/1.18)*Расчёты!$AL$8)</f>
        <v>16487288.135593221</v>
      </c>
      <c r="AW16" s="286">
        <f>$AM$16+((Оборудование!$E$14/1.18)*Расчёты!$AL$8)</f>
        <v>16487288.135593221</v>
      </c>
      <c r="AX16" s="347"/>
      <c r="AY16" s="139">
        <f>$AW$16+((Оборудование!$E$14/1.18)*Расчёты!$Y$8)</f>
        <v>20250000</v>
      </c>
      <c r="AZ16" s="139">
        <f>$AW$16+((Оборудование!$E$14/1.18)*Расчёты!$Y$8)</f>
        <v>20250000</v>
      </c>
      <c r="BA16" s="139">
        <f>$AW$16+((Оборудование!$E$14/1.18)*Расчёты!$Y$8)</f>
        <v>20250000</v>
      </c>
      <c r="BB16" s="139">
        <f>$AW$16+((Оборудование!$E$14/1.18)*Расчёты!$Y$8)</f>
        <v>20250000</v>
      </c>
      <c r="BC16" s="139">
        <f>$AW$16+((Оборудование!$E$14/1.18)*Расчёты!$Y$8)</f>
        <v>20250000</v>
      </c>
      <c r="BD16" s="139">
        <f>$AW$16+((Оборудование!$E$14/1.18)*Расчёты!$Y$8)</f>
        <v>20250000</v>
      </c>
      <c r="BE16" s="139">
        <f>$AW$16+((Оборудование!$E$14/1.18)*Расчёты!$Y$8)</f>
        <v>20250000</v>
      </c>
      <c r="BF16" s="139">
        <f>$BE$16+((Оборудование!$E$14/1.18)*Расчёты!$Y$8)</f>
        <v>24012711.864406779</v>
      </c>
      <c r="BG16" s="139">
        <f>$BE$16+((Оборудование!$E$14/1.18)*Расчёты!$Y$8)</f>
        <v>24012711.864406779</v>
      </c>
      <c r="BH16" s="139">
        <f>$BE$16+((Оборудование!$E$14/1.18)*Расчёты!$Y$8)</f>
        <v>24012711.864406779</v>
      </c>
      <c r="BI16" s="139">
        <f>$BE$16+((Оборудование!$E$14/1.18)*Расчёты!$Y$8)</f>
        <v>24012711.864406779</v>
      </c>
      <c r="BJ16" s="139">
        <f>$BE$16+((Оборудование!$E$14/1.18)*Расчёты!$Y$8)</f>
        <v>24012711.864406779</v>
      </c>
      <c r="BK16" s="347"/>
    </row>
    <row r="17" spans="1:63" ht="15" customHeight="1">
      <c r="A17" s="179" t="s">
        <v>62</v>
      </c>
      <c r="B17" s="169" t="s">
        <v>16</v>
      </c>
      <c r="C17" s="286"/>
      <c r="D17" s="313"/>
      <c r="E17" s="299">
        <f>(Оборудование!E14/1.18)*Расчёты!D8</f>
        <v>3762711.8644067799</v>
      </c>
      <c r="F17" s="55">
        <f>E18</f>
        <v>3700000</v>
      </c>
      <c r="G17" s="55">
        <f>F18</f>
        <v>3613347.4576271186</v>
      </c>
      <c r="H17" s="55">
        <f>G18</f>
        <v>3526694.9152542371</v>
      </c>
      <c r="I17" s="55">
        <f>H18</f>
        <v>3440042.3728813557</v>
      </c>
      <c r="J17" s="64">
        <f>I18</f>
        <v>3353389.8305084743</v>
      </c>
      <c r="K17" s="154"/>
      <c r="L17" s="139">
        <f>J18</f>
        <v>3266737.2881355928</v>
      </c>
      <c r="M17" s="55">
        <f>L18</f>
        <v>3180084.7457627114</v>
      </c>
      <c r="N17" s="55">
        <f>M18</f>
        <v>3093432.20338983</v>
      </c>
      <c r="O17" s="55">
        <f>N18+((Оборудование!E14/1.18)*Расчёты!L8)</f>
        <v>4856779.6610169485</v>
      </c>
      <c r="P17" s="55">
        <f>O18</f>
        <v>4738771.1864406774</v>
      </c>
      <c r="Q17" s="55">
        <f>P18</f>
        <v>4620762.7118644062</v>
      </c>
      <c r="R17" s="55">
        <f>Q18</f>
        <v>4502754.2372881351</v>
      </c>
      <c r="S17" s="55">
        <f>R18</f>
        <v>4384745.762711864</v>
      </c>
      <c r="T17" s="55">
        <f>S18</f>
        <v>4266737.2881355928</v>
      </c>
      <c r="U17" s="55">
        <f>T18+((Оборудование!E14/1.18)*Расчёты!R8)</f>
        <v>5998728.8135593217</v>
      </c>
      <c r="V17" s="55">
        <f>U18</f>
        <v>5849364.4067796608</v>
      </c>
      <c r="W17" s="64">
        <f>V18</f>
        <v>5700000</v>
      </c>
      <c r="X17" s="154"/>
      <c r="Y17" s="139">
        <f>W18</f>
        <v>5550635.5932203392</v>
      </c>
      <c r="Z17" s="55">
        <f>Y18</f>
        <v>5401271.1864406783</v>
      </c>
      <c r="AA17" s="55">
        <f>Z18</f>
        <v>5251906.7796610175</v>
      </c>
      <c r="AB17" s="55">
        <f>AA18+((Оборудование!E14/1.18)*Расчёты!Y8)</f>
        <v>8802542.3728813566</v>
      </c>
      <c r="AC17" s="55">
        <f t="shared" ref="AC17:AJ17" si="9">AB18</f>
        <v>8590466.1016949154</v>
      </c>
      <c r="AD17" s="55">
        <f t="shared" si="9"/>
        <v>8378389.8305084743</v>
      </c>
      <c r="AE17" s="55">
        <f t="shared" si="9"/>
        <v>8166313.5593220331</v>
      </c>
      <c r="AF17" s="55">
        <f t="shared" si="9"/>
        <v>7954237.2881355919</v>
      </c>
      <c r="AG17" s="55">
        <f t="shared" si="9"/>
        <v>7742161.0169491507</v>
      </c>
      <c r="AH17" s="55">
        <f t="shared" si="9"/>
        <v>7530084.7457627095</v>
      </c>
      <c r="AI17" s="55">
        <f t="shared" si="9"/>
        <v>7318008.4745762683</v>
      </c>
      <c r="AJ17" s="336">
        <f t="shared" si="9"/>
        <v>7105932.2033898272</v>
      </c>
      <c r="AK17" s="154"/>
      <c r="AL17" s="139">
        <f>AJ18</f>
        <v>6893855.932203386</v>
      </c>
      <c r="AM17" s="55">
        <f>AL18</f>
        <v>6681779.6610169448</v>
      </c>
      <c r="AN17" s="55">
        <f>AM18</f>
        <v>6469703.3898305036</v>
      </c>
      <c r="AO17" s="55">
        <f>AN18+((Оборудование!E14/1.18)*Расчёты!AL8)</f>
        <v>9957627.1186440624</v>
      </c>
      <c r="AP17" s="55">
        <f>AO18</f>
        <v>9682838.9830508418</v>
      </c>
      <c r="AQ17" s="55">
        <f t="shared" ref="AQ17:AV17" si="10">AP18</f>
        <v>9408050.8474576212</v>
      </c>
      <c r="AR17" s="55">
        <f t="shared" si="10"/>
        <v>9133262.7118644007</v>
      </c>
      <c r="AS17" s="55">
        <f t="shared" si="10"/>
        <v>8858474.5762711801</v>
      </c>
      <c r="AT17" s="55">
        <f t="shared" si="10"/>
        <v>8583686.4406779595</v>
      </c>
      <c r="AU17" s="55">
        <f t="shared" si="10"/>
        <v>8308898.3050847389</v>
      </c>
      <c r="AV17" s="55">
        <f t="shared" si="10"/>
        <v>8034110.1694915183</v>
      </c>
      <c r="AW17" s="336">
        <f>AP18</f>
        <v>9408050.8474576212</v>
      </c>
      <c r="AX17" s="220"/>
      <c r="AY17" s="139">
        <f>AW18</f>
        <v>9133262.7118644007</v>
      </c>
      <c r="AZ17" s="55">
        <f>AY18</f>
        <v>8795762.7118644007</v>
      </c>
      <c r="BA17" s="55">
        <f>AZ18</f>
        <v>8458262.7118644007</v>
      </c>
      <c r="BB17" s="55">
        <f>BA18+((Оборудование!R14/1.18)*Расчёты!AY8)</f>
        <v>8120762.7118644007</v>
      </c>
      <c r="BC17" s="55">
        <f>BB18</f>
        <v>7783262.7118644007</v>
      </c>
      <c r="BD17" s="55">
        <f t="shared" ref="BD17" si="11">BC18</f>
        <v>7445762.7118644007</v>
      </c>
      <c r="BE17" s="55">
        <f t="shared" ref="BE17" si="12">BD18</f>
        <v>7108262.7118644007</v>
      </c>
      <c r="BF17" s="55">
        <f t="shared" ref="BF17" si="13">BE18</f>
        <v>6770762.7118644007</v>
      </c>
      <c r="BG17" s="55">
        <f t="shared" ref="BG17" si="14">BF18</f>
        <v>6370550.8474576212</v>
      </c>
      <c r="BH17" s="55">
        <f t="shared" ref="BH17" si="15">BG18</f>
        <v>5970338.9830508418</v>
      </c>
      <c r="BI17" s="55">
        <f t="shared" ref="BI17" si="16">BH18</f>
        <v>5570127.1186440624</v>
      </c>
      <c r="BJ17" s="336">
        <f>BC18</f>
        <v>7445762.7118644007</v>
      </c>
      <c r="BK17" s="220"/>
    </row>
    <row r="18" spans="1:63" ht="14.25" customHeight="1">
      <c r="A18" s="81" t="s">
        <v>63</v>
      </c>
      <c r="B18" s="169" t="s">
        <v>16</v>
      </c>
      <c r="C18" s="286"/>
      <c r="D18" s="313"/>
      <c r="E18" s="299">
        <f t="shared" ref="E18:J18" si="17">E17-E19</f>
        <v>3700000</v>
      </c>
      <c r="F18" s="55">
        <f t="shared" si="17"/>
        <v>3613347.4576271186</v>
      </c>
      <c r="G18" s="55">
        <f t="shared" si="17"/>
        <v>3526694.9152542371</v>
      </c>
      <c r="H18" s="55">
        <f t="shared" si="17"/>
        <v>3440042.3728813557</v>
      </c>
      <c r="I18" s="55">
        <f t="shared" si="17"/>
        <v>3353389.8305084743</v>
      </c>
      <c r="J18" s="64">
        <f t="shared" si="17"/>
        <v>3266737.2881355928</v>
      </c>
      <c r="K18" s="154"/>
      <c r="L18" s="139">
        <f t="shared" ref="L18:W18" si="18">L17-L19</f>
        <v>3180084.7457627114</v>
      </c>
      <c r="M18" s="55">
        <f t="shared" si="18"/>
        <v>3093432.20338983</v>
      </c>
      <c r="N18" s="55">
        <f t="shared" si="18"/>
        <v>2975423.7288135588</v>
      </c>
      <c r="O18" s="55">
        <f t="shared" si="18"/>
        <v>4738771.1864406774</v>
      </c>
      <c r="P18" s="55">
        <f t="shared" si="18"/>
        <v>4620762.7118644062</v>
      </c>
      <c r="Q18" s="55">
        <f t="shared" si="18"/>
        <v>4502754.2372881351</v>
      </c>
      <c r="R18" s="55">
        <f t="shared" si="18"/>
        <v>4384745.762711864</v>
      </c>
      <c r="S18" s="55">
        <f t="shared" si="18"/>
        <v>4266737.2881355928</v>
      </c>
      <c r="T18" s="55">
        <f t="shared" si="18"/>
        <v>4117372.881355932</v>
      </c>
      <c r="U18" s="55">
        <f t="shared" si="18"/>
        <v>5849364.4067796608</v>
      </c>
      <c r="V18" s="55">
        <f t="shared" si="18"/>
        <v>5700000</v>
      </c>
      <c r="W18" s="64">
        <f t="shared" si="18"/>
        <v>5550635.5932203392</v>
      </c>
      <c r="X18" s="154"/>
      <c r="Y18" s="139">
        <f t="shared" ref="Y18:AJ18" si="19">Y17-Y19</f>
        <v>5401271.1864406783</v>
      </c>
      <c r="Z18" s="55">
        <f t="shared" si="19"/>
        <v>5251906.7796610175</v>
      </c>
      <c r="AA18" s="55">
        <f t="shared" si="19"/>
        <v>5039830.5084745772</v>
      </c>
      <c r="AB18" s="55">
        <f t="shared" si="19"/>
        <v>8590466.1016949154</v>
      </c>
      <c r="AC18" s="55">
        <f t="shared" si="19"/>
        <v>8378389.8305084743</v>
      </c>
      <c r="AD18" s="55">
        <f t="shared" si="19"/>
        <v>8166313.5593220331</v>
      </c>
      <c r="AE18" s="55">
        <f t="shared" si="19"/>
        <v>7954237.2881355919</v>
      </c>
      <c r="AF18" s="55">
        <f t="shared" si="19"/>
        <v>7742161.0169491507</v>
      </c>
      <c r="AG18" s="55">
        <f t="shared" si="19"/>
        <v>7530084.7457627095</v>
      </c>
      <c r="AH18" s="55">
        <f t="shared" si="19"/>
        <v>7318008.4745762683</v>
      </c>
      <c r="AI18" s="55">
        <f t="shared" si="19"/>
        <v>7105932.2033898272</v>
      </c>
      <c r="AJ18" s="336">
        <f t="shared" si="19"/>
        <v>6893855.932203386</v>
      </c>
      <c r="AK18" s="154"/>
      <c r="AL18" s="139">
        <f t="shared" ref="AL18:AW18" si="20">AL17-AL19</f>
        <v>6681779.6610169448</v>
      </c>
      <c r="AM18" s="55">
        <f t="shared" si="20"/>
        <v>6469703.3898305036</v>
      </c>
      <c r="AN18" s="55">
        <f t="shared" si="20"/>
        <v>6194915.254237283</v>
      </c>
      <c r="AO18" s="55">
        <f t="shared" si="20"/>
        <v>9682838.9830508418</v>
      </c>
      <c r="AP18" s="55">
        <f t="shared" si="20"/>
        <v>9408050.8474576212</v>
      </c>
      <c r="AQ18" s="55">
        <f t="shared" si="20"/>
        <v>9133262.7118644007</v>
      </c>
      <c r="AR18" s="55">
        <f t="shared" si="20"/>
        <v>8858474.5762711801</v>
      </c>
      <c r="AS18" s="55">
        <f t="shared" si="20"/>
        <v>8583686.4406779595</v>
      </c>
      <c r="AT18" s="55">
        <f t="shared" si="20"/>
        <v>8308898.3050847389</v>
      </c>
      <c r="AU18" s="55">
        <f t="shared" si="20"/>
        <v>8034110.1694915183</v>
      </c>
      <c r="AV18" s="55">
        <f t="shared" si="20"/>
        <v>7759322.0338982977</v>
      </c>
      <c r="AW18" s="336">
        <f t="shared" si="20"/>
        <v>9133262.7118644007</v>
      </c>
      <c r="AX18" s="220"/>
      <c r="AY18" s="139">
        <f t="shared" ref="AY18:BJ18" si="21">AY17-AY19</f>
        <v>8795762.7118644007</v>
      </c>
      <c r="AZ18" s="55">
        <f t="shared" si="21"/>
        <v>8458262.7118644007</v>
      </c>
      <c r="BA18" s="55">
        <f t="shared" si="21"/>
        <v>8120762.7118644007</v>
      </c>
      <c r="BB18" s="55">
        <f t="shared" si="21"/>
        <v>7783262.7118644007</v>
      </c>
      <c r="BC18" s="55">
        <f t="shared" si="21"/>
        <v>7445762.7118644007</v>
      </c>
      <c r="BD18" s="55">
        <f t="shared" si="21"/>
        <v>7108262.7118644007</v>
      </c>
      <c r="BE18" s="55">
        <f t="shared" si="21"/>
        <v>6770762.7118644007</v>
      </c>
      <c r="BF18" s="55">
        <f t="shared" si="21"/>
        <v>6370550.8474576212</v>
      </c>
      <c r="BG18" s="55">
        <f t="shared" si="21"/>
        <v>5970338.9830508418</v>
      </c>
      <c r="BH18" s="55">
        <f t="shared" si="21"/>
        <v>5570127.1186440624</v>
      </c>
      <c r="BI18" s="55">
        <f t="shared" si="21"/>
        <v>5169915.254237283</v>
      </c>
      <c r="BJ18" s="336">
        <f t="shared" si="21"/>
        <v>7045550.8474576212</v>
      </c>
      <c r="BK18" s="220"/>
    </row>
    <row r="19" spans="1:63" s="194" customFormat="1" ht="12" customHeight="1">
      <c r="A19" s="179" t="s">
        <v>64</v>
      </c>
      <c r="B19" s="169" t="s">
        <v>16</v>
      </c>
      <c r="C19" s="286">
        <f>((K19+X19)+AK19)+AX19+BK19</f>
        <v>11929872.881355934</v>
      </c>
      <c r="D19" s="313"/>
      <c r="E19" s="299">
        <f>(E17*'Исходные данные'!$C$5)/12</f>
        <v>62711.86440677967</v>
      </c>
      <c r="F19" s="55">
        <f>(F16*'Исходные данные'!$C$5)/12</f>
        <v>86652.542372881362</v>
      </c>
      <c r="G19" s="55">
        <f>(G16*'Исходные данные'!$C$5)/12</f>
        <v>86652.542372881362</v>
      </c>
      <c r="H19" s="55">
        <f>(H16*'Исходные данные'!$C$5)/12</f>
        <v>86652.542372881362</v>
      </c>
      <c r="I19" s="55">
        <f>(I16*'Исходные данные'!$C$5)/12</f>
        <v>86652.542372881362</v>
      </c>
      <c r="J19" s="64">
        <f>(J16*'Исходные данные'!$C$5)/12</f>
        <v>86652.542372881362</v>
      </c>
      <c r="K19" s="154">
        <f>SUM(D19:J19)</f>
        <v>495974.57627118652</v>
      </c>
      <c r="L19" s="139">
        <f>(L16*'Исходные данные'!$C$5)/12</f>
        <v>86652.542372881362</v>
      </c>
      <c r="M19" s="55">
        <f>(M16*'Исходные данные'!$C$5)/12</f>
        <v>86652.542372881362</v>
      </c>
      <c r="N19" s="55">
        <f>(N16*'Исходные данные'!$C$5)/12</f>
        <v>118008.4745762712</v>
      </c>
      <c r="O19" s="55">
        <f>(O16*'Исходные данные'!$C$5)/12</f>
        <v>118008.4745762712</v>
      </c>
      <c r="P19" s="55">
        <f>(P16*'Исходные данные'!$C$5)/12</f>
        <v>118008.4745762712</v>
      </c>
      <c r="Q19" s="55">
        <f>(Q16*'Исходные данные'!$C$5)/12</f>
        <v>118008.4745762712</v>
      </c>
      <c r="R19" s="55">
        <f>(R16*'Исходные данные'!$C$5)/12</f>
        <v>118008.4745762712</v>
      </c>
      <c r="S19" s="55">
        <f>(S16*'Исходные данные'!$C$5)/12</f>
        <v>118008.4745762712</v>
      </c>
      <c r="T19" s="55">
        <f>(T16*'Исходные данные'!$C$5)/12</f>
        <v>149364.40677966105</v>
      </c>
      <c r="U19" s="55">
        <f>(U16*'Исходные данные'!$C$5)/12</f>
        <v>149364.40677966105</v>
      </c>
      <c r="V19" s="55">
        <f>(V16*'Исходные данные'!$C$5)/12</f>
        <v>149364.40677966105</v>
      </c>
      <c r="W19" s="404">
        <f>(W16*'Исходные данные'!$C$5)/12</f>
        <v>149364.40677966105</v>
      </c>
      <c r="X19" s="346">
        <f>SUM(L19:W19)</f>
        <v>1478813.559322034</v>
      </c>
      <c r="Y19" s="139">
        <f>(Y16*'Исходные данные'!$C$5)/12</f>
        <v>149364.40677966105</v>
      </c>
      <c r="Z19" s="55">
        <f>(Z16*'Исходные данные'!$C$5)/12</f>
        <v>149364.40677966105</v>
      </c>
      <c r="AA19" s="55">
        <f>(AA16*'Исходные данные'!$C$5)/12</f>
        <v>212076.27118644072</v>
      </c>
      <c r="AB19" s="55">
        <f>(AB16*'Исходные данные'!$C$5)/12</f>
        <v>212076.27118644072</v>
      </c>
      <c r="AC19" s="55">
        <f>(AC16*'Исходные данные'!$C$5)/12</f>
        <v>212076.27118644072</v>
      </c>
      <c r="AD19" s="55">
        <f>(AD16*'Исходные данные'!$C$5)/12</f>
        <v>212076.27118644072</v>
      </c>
      <c r="AE19" s="55">
        <f>(AE16*'Исходные данные'!$C$5)/12</f>
        <v>212076.27118644072</v>
      </c>
      <c r="AF19" s="55">
        <f>(AF16*'Исходные данные'!$C$5)/12</f>
        <v>212076.27118644072</v>
      </c>
      <c r="AG19" s="55">
        <f>(AG16*'Исходные данные'!$C$5)/12</f>
        <v>212076.27118644072</v>
      </c>
      <c r="AH19" s="55">
        <f>(AH16*'Исходные данные'!$C$5)/12</f>
        <v>212076.27118644072</v>
      </c>
      <c r="AI19" s="55">
        <f>(AI16*'Исходные данные'!$C$5)/12</f>
        <v>212076.27118644072</v>
      </c>
      <c r="AJ19" s="286">
        <f>(AJ16*'Исходные данные'!$C$5)/12</f>
        <v>212076.27118644072</v>
      </c>
      <c r="AK19" s="346">
        <f>SUM(Y19:AJ19)</f>
        <v>2419491.5254237293</v>
      </c>
      <c r="AL19" s="139">
        <f>(AL16*'Исходные данные'!$C$5)/12</f>
        <v>212076.27118644072</v>
      </c>
      <c r="AM19" s="55">
        <f>(AM16*'Исходные данные'!$C$5)/12</f>
        <v>212076.27118644072</v>
      </c>
      <c r="AN19" s="55">
        <f>(AN16*'Исходные данные'!$C$5)/12</f>
        <v>274788.13559322036</v>
      </c>
      <c r="AO19" s="55">
        <f>(AO16*'Исходные данные'!$C$5)/12</f>
        <v>274788.13559322036</v>
      </c>
      <c r="AP19" s="55">
        <f>(AP16*'Исходные данные'!$C$5)/12</f>
        <v>274788.13559322036</v>
      </c>
      <c r="AQ19" s="55">
        <f>(AQ16*'Исходные данные'!$C$5)/12</f>
        <v>274788.13559322036</v>
      </c>
      <c r="AR19" s="55">
        <f>(AR16*'Исходные данные'!$C$5)/12</f>
        <v>274788.13559322036</v>
      </c>
      <c r="AS19" s="55">
        <f>(AS16*'Исходные данные'!$C$5)/12</f>
        <v>274788.13559322036</v>
      </c>
      <c r="AT19" s="55">
        <f>(AT16*'Исходные данные'!$C$5)/12</f>
        <v>274788.13559322036</v>
      </c>
      <c r="AU19" s="55">
        <f>(AU16*'Исходные данные'!$C$5)/12</f>
        <v>274788.13559322036</v>
      </c>
      <c r="AV19" s="55">
        <f>(AV16*'Исходные данные'!$C$5)/12</f>
        <v>274788.13559322036</v>
      </c>
      <c r="AW19" s="286">
        <f>(AW16*'Исходные данные'!$C$5)/12</f>
        <v>274788.13559322036</v>
      </c>
      <c r="AX19" s="348">
        <f>SUM(AL19:AW19)</f>
        <v>3172033.8983050855</v>
      </c>
      <c r="AY19" s="139">
        <f>(AY16*'Исходные данные'!$C$5)/12</f>
        <v>337500</v>
      </c>
      <c r="AZ19" s="55">
        <f>(AZ16*'Исходные данные'!$C$5)/12</f>
        <v>337500</v>
      </c>
      <c r="BA19" s="55">
        <f>(BA16*'Исходные данные'!$C$5)/12</f>
        <v>337500</v>
      </c>
      <c r="BB19" s="55">
        <f>(BB16*'Исходные данные'!$C$5)/12</f>
        <v>337500</v>
      </c>
      <c r="BC19" s="55">
        <f>(BC16*'Исходные данные'!$C$5)/12</f>
        <v>337500</v>
      </c>
      <c r="BD19" s="55">
        <f>(BD16*'Исходные данные'!$C$5)/12</f>
        <v>337500</v>
      </c>
      <c r="BE19" s="55">
        <f>(BE16*'Исходные данные'!$C$5)/12</f>
        <v>337500</v>
      </c>
      <c r="BF19" s="55">
        <f>(BF16*'Исходные данные'!$C$5)/12</f>
        <v>400211.86440677964</v>
      </c>
      <c r="BG19" s="55">
        <f>(BG16*'Исходные данные'!$C$5)/12</f>
        <v>400211.86440677964</v>
      </c>
      <c r="BH19" s="55">
        <f>(BH16*'Исходные данные'!$C$5)/12</f>
        <v>400211.86440677964</v>
      </c>
      <c r="BI19" s="55">
        <f>(BI16*'Исходные данные'!$C$5)/12</f>
        <v>400211.86440677964</v>
      </c>
      <c r="BJ19" s="286">
        <f>(BJ16*'Исходные данные'!$C$5)/12</f>
        <v>400211.86440677964</v>
      </c>
      <c r="BK19" s="348">
        <f>SUM(AY19:BJ19)</f>
        <v>4363559.322033897</v>
      </c>
    </row>
    <row r="20" spans="1:63" s="194" customFormat="1" ht="13.2">
      <c r="A20" s="272" t="s">
        <v>65</v>
      </c>
      <c r="B20" s="163" t="s">
        <v>16</v>
      </c>
      <c r="C20" s="288"/>
      <c r="D20" s="316">
        <f>(Транспорт!$E$3/1.18)*Расчёты!$D$9</f>
        <v>508474.57627118647</v>
      </c>
      <c r="E20" s="302">
        <f>(Транспорт!$E$3/1.18)*Расчёты!$D$9</f>
        <v>508474.57627118647</v>
      </c>
      <c r="F20" s="284">
        <f>(Транспорт!$E$3/1.18)*Расчёты!$D$9</f>
        <v>508474.57627118647</v>
      </c>
      <c r="G20" s="284">
        <f>(Транспорт!$E$3/1.18)*Расчёты!$D$9</f>
        <v>508474.57627118647</v>
      </c>
      <c r="H20" s="284">
        <f>(Транспорт!$E$3/1.18)*Расчёты!$D$9</f>
        <v>508474.57627118647</v>
      </c>
      <c r="I20" s="284">
        <f>(Транспорт!$E$3/1.18)*Расчёты!$D$9</f>
        <v>508474.57627118647</v>
      </c>
      <c r="J20" s="283">
        <f>(Транспорт!$E$3/1.18)*Расчёты!$D$9</f>
        <v>508474.57627118647</v>
      </c>
      <c r="K20" s="154"/>
      <c r="L20" s="282">
        <f>(Транспорт!$E$3/1.18)*Расчёты!$D$9</f>
        <v>508474.57627118647</v>
      </c>
      <c r="M20" s="284">
        <f>(Транспорт!$E$3/1.18)*Расчёты!$D$9</f>
        <v>508474.57627118647</v>
      </c>
      <c r="N20" s="328">
        <f>($M$20+((Транспорт!$E$4/1.18)*Расчёты!$L$10))+((Транспорт!$E$3/1.18)*Расчёты!$M$9)</f>
        <v>5677966.1016949154</v>
      </c>
      <c r="O20" s="247">
        <f>($M$20+((Транспорт!$E$4/1.18)*Расчёты!$L$10))+((Транспорт!$E$3/1.18)*Расчёты!$M$9)</f>
        <v>5677966.1016949154</v>
      </c>
      <c r="P20" s="247">
        <f>($M$20+((Транспорт!$E$4/1.18)*Расчёты!$L$10))+((Транспорт!$E$3/1.18)*Расчёты!$M$9)</f>
        <v>5677966.1016949154</v>
      </c>
      <c r="Q20" s="247">
        <f>($M$20+((Транспорт!$E$4/1.18)*Расчёты!$L$10))+((Транспорт!$E$3/1.18)*Расчёты!$M$9)</f>
        <v>5677966.1016949154</v>
      </c>
      <c r="R20" s="247">
        <f>($M$20+((Транспорт!$E$4/1.18)*Расчёты!$L$10))+((Транспорт!$E$3/1.18)*Расчёты!$M$9)</f>
        <v>5677966.1016949154</v>
      </c>
      <c r="S20" s="247">
        <f>($M$20+((Транспорт!$E$4/1.18)*Расчёты!$L$10))+((Транспорт!$E$3/1.18)*Расчёты!$M$9)</f>
        <v>5677966.1016949154</v>
      </c>
      <c r="T20" s="247">
        <f>$S$20+((Транспорт!$E$4/1.18)*Расчёты!$R$10)</f>
        <v>15000000</v>
      </c>
      <c r="U20" s="247">
        <f>$S$20+((Транспорт!$E$4/1.18)*Расчёты!$R$10)</f>
        <v>15000000</v>
      </c>
      <c r="V20" s="327">
        <f>$S$20+((Транспорт!$E$4/1.18)*Расчёты!$R$10)</f>
        <v>15000000</v>
      </c>
      <c r="W20" s="405">
        <f>$S$20+((Транспорт!$E$4/1.18)*Расчёты!$R$10)</f>
        <v>15000000</v>
      </c>
      <c r="X20" s="346"/>
      <c r="Y20" s="98">
        <f>$S$20+((Транспорт!$E$4/1.18)*Расчёты!$R$10)</f>
        <v>15000000</v>
      </c>
      <c r="Z20" s="247">
        <f>$S$20+((Транспорт!$E$4/1.18)*Расчёты!$R$10)</f>
        <v>15000000</v>
      </c>
      <c r="AA20" s="247">
        <f>($Z$20+((Транспорт!$E$4/1.18)*Расчёты!$Y$10))+((Транспорт!$E$3/1.18)*Расчёты!$Z$9)</f>
        <v>29491525.423728812</v>
      </c>
      <c r="AB20" s="247">
        <f>($Z$20+((Транспорт!$E$4/1.18)*Расчёты!$Y$10))+((Транспорт!$E$3/1.18)*Расчёты!$Z$9)</f>
        <v>29491525.423728812</v>
      </c>
      <c r="AC20" s="247">
        <f>($Z$20+((Транспорт!$E$4/1.18)*Расчёты!$Y$10))+((Транспорт!$E$3/1.18)*Расчёты!$Z$9)</f>
        <v>29491525.423728812</v>
      </c>
      <c r="AD20" s="247">
        <f>($Z$20+((Транспорт!$E$4/1.18)*Расчёты!$Y$10))+((Транспорт!$E$3/1.18)*Расчёты!$Z$9)</f>
        <v>29491525.423728812</v>
      </c>
      <c r="AE20" s="247">
        <f>($Z$20+((Транспорт!$E$4/1.18)*Расчёты!$Y$10))+((Транспорт!$E$3/1.18)*Расчёты!$Z$9)</f>
        <v>29491525.423728812</v>
      </c>
      <c r="AF20" s="247">
        <f>($Z$20+((Транспорт!$E$4/1.18)*Расчёты!$Y$10))+((Транспорт!$E$3/1.18)*Расчёты!$Z$9)</f>
        <v>29491525.423728812</v>
      </c>
      <c r="AG20" s="247">
        <f>($Z$20+((Транспорт!$E$4/1.18)*Расчёты!$Y$10))+((Транспорт!$E$3/1.18)*Расчёты!$Z$9)</f>
        <v>29491525.423728812</v>
      </c>
      <c r="AH20" s="247">
        <f>($Z$20+((Транспорт!$E$4/1.18)*Расчёты!$Y$10))+((Транспорт!$E$3/1.18)*Расчёты!$Z$9)</f>
        <v>29491525.423728812</v>
      </c>
      <c r="AI20" s="247">
        <f>($Z$20+((Транспорт!$E$4/1.18)*Расчёты!$Y$10))+((Транспорт!$E$3/1.18)*Расчёты!$Z$9)</f>
        <v>29491525.423728812</v>
      </c>
      <c r="AJ20" s="288">
        <f>($Z$20+((Транспорт!$E$4/1.18)*Расчёты!$Y$10))+((Транспорт!$E$3/1.18)*Расчёты!$Z$9)</f>
        <v>29491525.423728812</v>
      </c>
      <c r="AK20" s="346"/>
      <c r="AL20" s="98">
        <f>($Z$20+((Транспорт!$E$4/1.18)*Расчёты!$Y$10))+((Транспорт!$E$3/1.18)*Расчёты!$Z$9)</f>
        <v>29491525.423728812</v>
      </c>
      <c r="AM20" s="247">
        <f>($Z$20+((Транспорт!$E$4/1.18)*Расчёты!$Y$10))+((Транспорт!$E$3/1.18)*Расчёты!$Z$9)</f>
        <v>29491525.423728812</v>
      </c>
      <c r="AN20" s="247">
        <f>($AM$20+((Транспорт!$E$4/1.18)*Расчёты!$AL$10))+((Транспорт!$E$3/1.18)*Расчёты!$AM$9)</f>
        <v>39322033.898305081</v>
      </c>
      <c r="AO20" s="247">
        <f>($AM$20+((Транспорт!$E$4/1.18)*Расчёты!$AL$10))+((Транспорт!$E$3/1.18)*Расчёты!$AM$9)</f>
        <v>39322033.898305081</v>
      </c>
      <c r="AP20" s="247">
        <f>($AM$20+((Транспорт!$E$4/1.18)*Расчёты!$AL$10))+((Транспорт!$E$3/1.18)*Расчёты!$AM$9)</f>
        <v>39322033.898305081</v>
      </c>
      <c r="AQ20" s="247">
        <f>($AM$20+((Транспорт!$E$4/1.18)*Расчёты!$AL$10))+((Транспорт!$E$3/1.18)*Расчёты!$AM$9)</f>
        <v>39322033.898305081</v>
      </c>
      <c r="AR20" s="247">
        <f>($AM$20+((Транспорт!$E$4/1.18)*Расчёты!$AL$10))+((Транспорт!$E$3/1.18)*Расчёты!$AM$9)</f>
        <v>39322033.898305081</v>
      </c>
      <c r="AS20" s="247">
        <f>($AM$20+((Транспорт!$E$4/1.18)*Расчёты!$AL$10))+((Транспорт!$E$3/1.18)*Расчёты!$AM$9)</f>
        <v>39322033.898305081</v>
      </c>
      <c r="AT20" s="247">
        <f>($AM$20+((Транспорт!$E$4/1.18)*Расчёты!$AL$10))+((Транспорт!$E$3/1.18)*Расчёты!$AM$9)</f>
        <v>39322033.898305081</v>
      </c>
      <c r="AU20" s="247">
        <f>($AM$20+((Транспорт!$E$4/1.18)*Расчёты!$AL$10))+((Транспорт!$E$3/1.18)*Расчёты!$AM$9)</f>
        <v>39322033.898305081</v>
      </c>
      <c r="AV20" s="247">
        <f>($AM$20+((Транспорт!$E$4/1.18)*Расчёты!$AL$10))+((Транспорт!$E$3/1.18)*Расчёты!$AM$9)</f>
        <v>39322033.898305081</v>
      </c>
      <c r="AW20" s="288">
        <f>($AM$20+((Транспорт!$E$4/1.18)*Расчёты!$AL$10))+((Транспорт!$E$3/1.18)*Расчёты!$AM$9)</f>
        <v>39322033.898305081</v>
      </c>
      <c r="AX20" s="347"/>
      <c r="AY20" s="288">
        <f>($AM$20+((Транспорт!$E$4/1.18)*Расчёты!$AL$10))+((Транспорт!$E$3/1.18)*Расчёты!$AM$9)</f>
        <v>39322033.898305081</v>
      </c>
      <c r="AZ20" s="288">
        <f>($AM$20+((Транспорт!$E$4/1.18)*Расчёты!$AL$10))+((Транспорт!$E$3/1.18)*Расчёты!$AM$9)</f>
        <v>39322033.898305081</v>
      </c>
      <c r="BA20" s="247">
        <f>($AZ$20+((Транспорт!$E$4/1.18)*Расчёты!$AY$10))+((Транспорт!$E$3/1.18)*Расчёты!$AZ$9)</f>
        <v>49152542.372881345</v>
      </c>
      <c r="BB20" s="247">
        <f>($AZ$20+((Транспорт!$E$4/1.18)*Расчёты!$AY$10))+((Транспорт!$E$3/1.18)*Расчёты!$AZ$9)</f>
        <v>49152542.372881345</v>
      </c>
      <c r="BC20" s="247">
        <f>($AZ$20+((Транспорт!$E$4/1.18)*Расчёты!$AY$10))+((Транспорт!$E$3/1.18)*Расчёты!$AZ$9)</f>
        <v>49152542.372881345</v>
      </c>
      <c r="BD20" s="247">
        <f>($AZ$20+((Транспорт!$E$4/1.18)*Расчёты!$AY$10))+((Транспорт!$E$3/1.18)*Расчёты!$AZ$9)</f>
        <v>49152542.372881345</v>
      </c>
      <c r="BE20" s="247">
        <f>($AZ$20+((Транспорт!$E$4/1.18)*Расчёты!$AY$10))+((Транспорт!$E$3/1.18)*Расчёты!$AZ$9)</f>
        <v>49152542.372881345</v>
      </c>
      <c r="BF20" s="247">
        <f>($AZ$20+((Транспорт!$E$4/1.18)*Расчёты!$AY$10))+((Транспорт!$E$3/1.18)*Расчёты!$AZ$9)</f>
        <v>49152542.372881345</v>
      </c>
      <c r="BG20" s="247">
        <f>($AZ$20+((Транспорт!$E$4/1.18)*Расчёты!$AY$10))+((Транспорт!$E$3/1.18)*Расчёты!$AZ$9)</f>
        <v>49152542.372881345</v>
      </c>
      <c r="BH20" s="247">
        <f>($AZ$20+((Транспорт!$E$4/1.18)*Расчёты!$AY$10))+((Транспорт!$E$3/1.18)*Расчёты!$AZ$9)</f>
        <v>49152542.372881345</v>
      </c>
      <c r="BI20" s="247">
        <f>($AZ$20+((Транспорт!$E$4/1.18)*Расчёты!$AY$10))+((Транспорт!$E$3/1.18)*Расчёты!$AZ$9)</f>
        <v>49152542.372881345</v>
      </c>
      <c r="BJ20" s="247">
        <f>($AZ$20+((Транспорт!$E$4/1.18)*Расчёты!$AY$10))+((Транспорт!$E$3/1.18)*Расчёты!$AZ$9)</f>
        <v>49152542.372881345</v>
      </c>
      <c r="BK20" s="347"/>
    </row>
    <row r="21" spans="1:63" ht="15" customHeight="1">
      <c r="A21" s="273" t="s">
        <v>62</v>
      </c>
      <c r="B21" s="163" t="s">
        <v>16</v>
      </c>
      <c r="C21" s="288"/>
      <c r="D21" s="316"/>
      <c r="E21" s="303">
        <f>E20</f>
        <v>508474.57627118647</v>
      </c>
      <c r="F21" s="247">
        <f>E22</f>
        <v>502542.37288135593</v>
      </c>
      <c r="G21" s="247">
        <f>F22</f>
        <v>496610.16949152539</v>
      </c>
      <c r="H21" s="247">
        <f>G22</f>
        <v>490677.96610169485</v>
      </c>
      <c r="I21" s="247">
        <f>H22</f>
        <v>484745.76271186431</v>
      </c>
      <c r="J21" s="24">
        <f>I22</f>
        <v>478813.55932203378</v>
      </c>
      <c r="K21" s="154"/>
      <c r="L21" s="323">
        <f>J22</f>
        <v>472881.35593220324</v>
      </c>
      <c r="M21" s="247">
        <f>L22</f>
        <v>466949.1525423727</v>
      </c>
      <c r="N21" s="247">
        <f>M22+((Транспорт!E3/1.18)*Расчёты!M9)</f>
        <v>969491.52542372863</v>
      </c>
      <c r="O21" s="247">
        <f>(N22+((Транспорт!E4/1.18)*Расчёты!L10))+((Транспорт!E3/1.18)*Расчёты!M9)</f>
        <v>6072740.1129943505</v>
      </c>
      <c r="P21" s="247">
        <f>O22</f>
        <v>6006497.1751412433</v>
      </c>
      <c r="Q21" s="247">
        <f>P22</f>
        <v>5940254.237288136</v>
      </c>
      <c r="R21" s="247">
        <f>Q22</f>
        <v>5874011.2994350288</v>
      </c>
      <c r="S21" s="247">
        <f>R22</f>
        <v>5807768.3615819216</v>
      </c>
      <c r="T21" s="247">
        <f>S22</f>
        <v>5741525.4237288143</v>
      </c>
      <c r="U21" s="247">
        <f>T22+((Транспорт!E4/1.18)*Расчёты!R10)</f>
        <v>14888559.322033899</v>
      </c>
      <c r="V21" s="327">
        <f>U22</f>
        <v>14713559.322033899</v>
      </c>
      <c r="W21" s="24">
        <f>V22</f>
        <v>14538559.322033899</v>
      </c>
      <c r="X21" s="154"/>
      <c r="Y21" s="98">
        <f>W22</f>
        <v>14363559.322033899</v>
      </c>
      <c r="Z21" s="247">
        <f>Y22</f>
        <v>14188559.322033899</v>
      </c>
      <c r="AA21" s="247">
        <f>Z22</f>
        <v>14013559.322033899</v>
      </c>
      <c r="AB21" s="247">
        <f>(AA22+((Транспорт!E4/1.18)*Расчёты!Y10))+((Транспорт!E3/1.18)*Расчёты!Z9)</f>
        <v>28161016.949152544</v>
      </c>
      <c r="AC21" s="247">
        <f t="shared" ref="AC21:AJ21" si="22">AB22</f>
        <v>27816949.152542375</v>
      </c>
      <c r="AD21" s="247">
        <f t="shared" si="22"/>
        <v>27472881.355932206</v>
      </c>
      <c r="AE21" s="247">
        <f t="shared" si="22"/>
        <v>27128813.559322037</v>
      </c>
      <c r="AF21" s="247">
        <f t="shared" si="22"/>
        <v>26784745.762711868</v>
      </c>
      <c r="AG21" s="247">
        <f t="shared" si="22"/>
        <v>26440677.966101699</v>
      </c>
      <c r="AH21" s="247">
        <f t="shared" si="22"/>
        <v>26096610.169491529</v>
      </c>
      <c r="AI21" s="247">
        <f t="shared" si="22"/>
        <v>25752542.37288136</v>
      </c>
      <c r="AJ21" s="341">
        <f t="shared" si="22"/>
        <v>25408474.576271191</v>
      </c>
      <c r="AK21" s="154"/>
      <c r="AL21" s="98">
        <f>AJ22</f>
        <v>25064406.779661022</v>
      </c>
      <c r="AM21" s="247">
        <f>AL22</f>
        <v>24720338.983050853</v>
      </c>
      <c r="AN21" s="247">
        <f>AM22</f>
        <v>24376271.186440684</v>
      </c>
      <c r="AO21" s="247">
        <f>(AN22+((Транспорт!E4/1.18)*Расчёты!AL10))+((Транспорт!E3/1.18)*Расчёты!AM9)</f>
        <v>33748022.598870061</v>
      </c>
      <c r="AP21" s="247">
        <f>AO22</f>
        <v>33289265.53672317</v>
      </c>
      <c r="AQ21" s="247">
        <f t="shared" ref="AQ21:AV21" si="23">AP22</f>
        <v>32830508.47457628</v>
      </c>
      <c r="AR21" s="247">
        <f t="shared" si="23"/>
        <v>32371751.412429389</v>
      </c>
      <c r="AS21" s="247">
        <f t="shared" si="23"/>
        <v>31912994.350282498</v>
      </c>
      <c r="AT21" s="247">
        <f t="shared" si="23"/>
        <v>31454237.288135607</v>
      </c>
      <c r="AU21" s="247">
        <f t="shared" si="23"/>
        <v>30995480.225988716</v>
      </c>
      <c r="AV21" s="247">
        <f t="shared" si="23"/>
        <v>30536723.163841825</v>
      </c>
      <c r="AW21" s="341">
        <f>AP22</f>
        <v>32830508.47457628</v>
      </c>
      <c r="AX21" s="220"/>
      <c r="AY21" s="98">
        <f>AW22</f>
        <v>32371751.412429389</v>
      </c>
      <c r="AZ21" s="247">
        <f>AY22</f>
        <v>31912994.350282498</v>
      </c>
      <c r="BA21" s="247">
        <f>AZ22</f>
        <v>31454237.288135607</v>
      </c>
      <c r="BB21" s="247">
        <f>(BA22+((Транспорт!R4/1.18)*Расчёты!AY10))+((Транспорт!R3/1.18)*Расчёты!AZ9)</f>
        <v>30880790.96045199</v>
      </c>
      <c r="BC21" s="247">
        <f>BB22</f>
        <v>30307344.632768374</v>
      </c>
      <c r="BD21" s="247">
        <f t="shared" ref="BD21" si="24">BC22</f>
        <v>29733898.305084758</v>
      </c>
      <c r="BE21" s="247">
        <f t="shared" ref="BE21" si="25">BD22</f>
        <v>29160451.977401141</v>
      </c>
      <c r="BF21" s="247">
        <f t="shared" ref="BF21" si="26">BE22</f>
        <v>28587005.649717525</v>
      </c>
      <c r="BG21" s="247">
        <f t="shared" ref="BG21" si="27">BF22</f>
        <v>28013559.322033908</v>
      </c>
      <c r="BH21" s="247">
        <f t="shared" ref="BH21" si="28">BG22</f>
        <v>27440112.994350292</v>
      </c>
      <c r="BI21" s="247">
        <f t="shared" ref="BI21" si="29">BH22</f>
        <v>26866666.666666675</v>
      </c>
      <c r="BJ21" s="341">
        <f>BC22</f>
        <v>29733898.305084758</v>
      </c>
      <c r="BK21" s="220"/>
    </row>
    <row r="22" spans="1:63" ht="14.25" customHeight="1">
      <c r="A22" s="274" t="s">
        <v>63</v>
      </c>
      <c r="B22" s="163" t="s">
        <v>16</v>
      </c>
      <c r="C22" s="288"/>
      <c r="D22" s="316"/>
      <c r="E22" s="303">
        <f t="shared" ref="E22:J22" si="30">E21-E23</f>
        <v>502542.37288135593</v>
      </c>
      <c r="F22" s="247">
        <f t="shared" si="30"/>
        <v>496610.16949152539</v>
      </c>
      <c r="G22" s="247">
        <f t="shared" si="30"/>
        <v>490677.96610169485</v>
      </c>
      <c r="H22" s="247">
        <f t="shared" si="30"/>
        <v>484745.76271186431</v>
      </c>
      <c r="I22" s="247">
        <f t="shared" si="30"/>
        <v>478813.55932203378</v>
      </c>
      <c r="J22" s="24">
        <f t="shared" si="30"/>
        <v>472881.35593220324</v>
      </c>
      <c r="K22" s="154"/>
      <c r="L22" s="323">
        <f t="shared" ref="L22:W22" si="31">L21-L23</f>
        <v>466949.1525423727</v>
      </c>
      <c r="M22" s="247">
        <f t="shared" si="31"/>
        <v>461016.94915254216</v>
      </c>
      <c r="N22" s="247">
        <f t="shared" si="31"/>
        <v>903248.58757062128</v>
      </c>
      <c r="O22" s="247">
        <f t="shared" si="31"/>
        <v>6006497.1751412433</v>
      </c>
      <c r="P22" s="247">
        <f t="shared" si="31"/>
        <v>5940254.237288136</v>
      </c>
      <c r="Q22" s="247">
        <f t="shared" si="31"/>
        <v>5874011.2994350288</v>
      </c>
      <c r="R22" s="247">
        <f t="shared" si="31"/>
        <v>5807768.3615819216</v>
      </c>
      <c r="S22" s="247">
        <f t="shared" si="31"/>
        <v>5741525.4237288143</v>
      </c>
      <c r="T22" s="247">
        <f t="shared" si="31"/>
        <v>5566525.4237288143</v>
      </c>
      <c r="U22" s="247">
        <f t="shared" si="31"/>
        <v>14713559.322033899</v>
      </c>
      <c r="V22" s="327">
        <f t="shared" si="31"/>
        <v>14538559.322033899</v>
      </c>
      <c r="W22" s="24">
        <f t="shared" si="31"/>
        <v>14363559.322033899</v>
      </c>
      <c r="X22" s="154"/>
      <c r="Y22" s="98">
        <f t="shared" ref="Y22:AJ22" si="32">Y21-Y23</f>
        <v>14188559.322033899</v>
      </c>
      <c r="Z22" s="247">
        <f t="shared" si="32"/>
        <v>14013559.322033899</v>
      </c>
      <c r="AA22" s="247">
        <f t="shared" si="32"/>
        <v>13669491.52542373</v>
      </c>
      <c r="AB22" s="247">
        <f t="shared" si="32"/>
        <v>27816949.152542375</v>
      </c>
      <c r="AC22" s="247">
        <f t="shared" si="32"/>
        <v>27472881.355932206</v>
      </c>
      <c r="AD22" s="247">
        <f t="shared" si="32"/>
        <v>27128813.559322037</v>
      </c>
      <c r="AE22" s="247">
        <f t="shared" si="32"/>
        <v>26784745.762711868</v>
      </c>
      <c r="AF22" s="247">
        <f t="shared" si="32"/>
        <v>26440677.966101699</v>
      </c>
      <c r="AG22" s="247">
        <f t="shared" si="32"/>
        <v>26096610.169491529</v>
      </c>
      <c r="AH22" s="247">
        <f t="shared" si="32"/>
        <v>25752542.37288136</v>
      </c>
      <c r="AI22" s="247">
        <f t="shared" si="32"/>
        <v>25408474.576271191</v>
      </c>
      <c r="AJ22" s="341">
        <f t="shared" si="32"/>
        <v>25064406.779661022</v>
      </c>
      <c r="AK22" s="154"/>
      <c r="AL22" s="98">
        <f t="shared" ref="AL22:AW22" si="33">AL21-AL23</f>
        <v>24720338.983050853</v>
      </c>
      <c r="AM22" s="247">
        <f t="shared" si="33"/>
        <v>24376271.186440684</v>
      </c>
      <c r="AN22" s="247">
        <f t="shared" si="33"/>
        <v>23917514.124293793</v>
      </c>
      <c r="AO22" s="247">
        <f t="shared" si="33"/>
        <v>33289265.53672317</v>
      </c>
      <c r="AP22" s="247">
        <f t="shared" si="33"/>
        <v>32830508.47457628</v>
      </c>
      <c r="AQ22" s="247">
        <f t="shared" si="33"/>
        <v>32371751.412429389</v>
      </c>
      <c r="AR22" s="247">
        <f t="shared" si="33"/>
        <v>31912994.350282498</v>
      </c>
      <c r="AS22" s="247">
        <f t="shared" si="33"/>
        <v>31454237.288135607</v>
      </c>
      <c r="AT22" s="247">
        <f t="shared" si="33"/>
        <v>30995480.225988716</v>
      </c>
      <c r="AU22" s="247">
        <f t="shared" si="33"/>
        <v>30536723.163841825</v>
      </c>
      <c r="AV22" s="247">
        <f t="shared" si="33"/>
        <v>30077966.101694934</v>
      </c>
      <c r="AW22" s="247">
        <f t="shared" si="33"/>
        <v>32371751.412429389</v>
      </c>
      <c r="AX22" s="220"/>
      <c r="AY22" s="98">
        <f t="shared" ref="AY22:BJ22" si="34">AY21-AY23</f>
        <v>31912994.350282498</v>
      </c>
      <c r="AZ22" s="247">
        <f t="shared" si="34"/>
        <v>31454237.288135607</v>
      </c>
      <c r="BA22" s="247">
        <f t="shared" si="34"/>
        <v>30880790.96045199</v>
      </c>
      <c r="BB22" s="247">
        <f t="shared" si="34"/>
        <v>30307344.632768374</v>
      </c>
      <c r="BC22" s="247">
        <f t="shared" si="34"/>
        <v>29733898.305084758</v>
      </c>
      <c r="BD22" s="247">
        <f t="shared" si="34"/>
        <v>29160451.977401141</v>
      </c>
      <c r="BE22" s="247">
        <f t="shared" si="34"/>
        <v>28587005.649717525</v>
      </c>
      <c r="BF22" s="247">
        <f t="shared" si="34"/>
        <v>28013559.322033908</v>
      </c>
      <c r="BG22" s="247">
        <f t="shared" si="34"/>
        <v>27440112.994350292</v>
      </c>
      <c r="BH22" s="247">
        <f t="shared" si="34"/>
        <v>26866666.666666675</v>
      </c>
      <c r="BI22" s="247">
        <f t="shared" si="34"/>
        <v>26293220.338983059</v>
      </c>
      <c r="BJ22" s="247">
        <f t="shared" si="34"/>
        <v>29160451.977401141</v>
      </c>
      <c r="BK22" s="220"/>
    </row>
    <row r="23" spans="1:63" s="194" customFormat="1" ht="12" customHeight="1">
      <c r="A23" s="273" t="s">
        <v>66</v>
      </c>
      <c r="B23" s="163" t="s">
        <v>16</v>
      </c>
      <c r="C23" s="288">
        <f t="shared" ref="C23:C32" si="35">((K23+X23)+AK23)+AX23</f>
        <v>10211299.435028249</v>
      </c>
      <c r="D23" s="316"/>
      <c r="E23" s="303">
        <f>(E20*'Исходные данные'!$C$6)/12</f>
        <v>5932.203389830509</v>
      </c>
      <c r="F23" s="247">
        <f>(F20*'Исходные данные'!$C$6)/12</f>
        <v>5932.203389830509</v>
      </c>
      <c r="G23" s="247">
        <f>(G20*'Исходные данные'!$C$6)/12</f>
        <v>5932.203389830509</v>
      </c>
      <c r="H23" s="247">
        <f>(H20*'Исходные данные'!$C$6)/12</f>
        <v>5932.203389830509</v>
      </c>
      <c r="I23" s="247">
        <f>(I20*'Исходные данные'!$C$6)/12</f>
        <v>5932.203389830509</v>
      </c>
      <c r="J23" s="24">
        <f>(J20*'Исходные данные'!$C$6)/12</f>
        <v>5932.203389830509</v>
      </c>
      <c r="K23" s="154">
        <f t="shared" ref="K23:K32" si="36">SUM(D23:J23)</f>
        <v>35593.220338983054</v>
      </c>
      <c r="L23" s="323">
        <f>(L20*'Исходные данные'!$C$6)/12</f>
        <v>5932.203389830509</v>
      </c>
      <c r="M23" s="247">
        <f>(M20*'Исходные данные'!$C$6)/12</f>
        <v>5932.203389830509</v>
      </c>
      <c r="N23" s="247">
        <f>(N20*'Исходные данные'!$C$6)/12</f>
        <v>66242.93785310736</v>
      </c>
      <c r="O23" s="247">
        <f>(O20*'Исходные данные'!$C$6)/12</f>
        <v>66242.93785310736</v>
      </c>
      <c r="P23" s="247">
        <f>(P20*'Исходные данные'!$C$6)/12</f>
        <v>66242.93785310736</v>
      </c>
      <c r="Q23" s="247">
        <f>(Q20*'Исходные данные'!$C$6)/12</f>
        <v>66242.93785310736</v>
      </c>
      <c r="R23" s="247">
        <f>(R20*'Исходные данные'!$C$6)/12</f>
        <v>66242.93785310736</v>
      </c>
      <c r="S23" s="247">
        <f>(S20*'Исходные данные'!$C$6)/12</f>
        <v>66242.93785310736</v>
      </c>
      <c r="T23" s="247">
        <f>(T20*'Исходные данные'!$C$6)/12</f>
        <v>175000</v>
      </c>
      <c r="U23" s="247">
        <f>(U20*'Исходные данные'!$C$6)/12</f>
        <v>175000</v>
      </c>
      <c r="V23" s="327">
        <f>(V20*'Исходные данные'!$C$6)/12</f>
        <v>175000</v>
      </c>
      <c r="W23" s="405">
        <f>(W20*'Исходные данные'!$C$6)/12</f>
        <v>175000</v>
      </c>
      <c r="X23" s="346">
        <f t="shared" ref="X23:X32" si="37">SUM(L23:W23)</f>
        <v>1109322.0338983051</v>
      </c>
      <c r="Y23" s="98">
        <f>(Y20*'Исходные данные'!$C$6)/12</f>
        <v>175000</v>
      </c>
      <c r="Z23" s="247">
        <f>(Z20*'Исходные данные'!$C$6)/12</f>
        <v>175000</v>
      </c>
      <c r="AA23" s="247">
        <f>(AA20*'Исходные данные'!$C$6)/12</f>
        <v>344067.79661016952</v>
      </c>
      <c r="AB23" s="247">
        <f>(AB20*'Исходные данные'!$C$6)/12</f>
        <v>344067.79661016952</v>
      </c>
      <c r="AC23" s="247">
        <f>(AC20*'Исходные данные'!$C$6)/12</f>
        <v>344067.79661016952</v>
      </c>
      <c r="AD23" s="247">
        <f>(AD20*'Исходные данные'!$C$6)/12</f>
        <v>344067.79661016952</v>
      </c>
      <c r="AE23" s="247">
        <f>(AE20*'Исходные данные'!$C$6)/12</f>
        <v>344067.79661016952</v>
      </c>
      <c r="AF23" s="247">
        <f>(AF20*'Исходные данные'!$C$6)/12</f>
        <v>344067.79661016952</v>
      </c>
      <c r="AG23" s="247">
        <f>(AG20*'Исходные данные'!$C$6)/12</f>
        <v>344067.79661016952</v>
      </c>
      <c r="AH23" s="247">
        <f>(AH20*'Исходные данные'!$C$6)/12</f>
        <v>344067.79661016952</v>
      </c>
      <c r="AI23" s="247">
        <f>(AI20*'Исходные данные'!$C$6)/12</f>
        <v>344067.79661016952</v>
      </c>
      <c r="AJ23" s="288">
        <f>(AJ20*'Исходные данные'!$C$6)/12</f>
        <v>344067.79661016952</v>
      </c>
      <c r="AK23" s="346">
        <f t="shared" ref="AK23:AK32" si="38">SUM(Y23:AJ23)</f>
        <v>3790677.9661016958</v>
      </c>
      <c r="AL23" s="98">
        <f>(AL20*'Исходные данные'!$C$6)/12</f>
        <v>344067.79661016952</v>
      </c>
      <c r="AM23" s="247">
        <f>(AM20*'Исходные данные'!$C$6)/12</f>
        <v>344067.79661016952</v>
      </c>
      <c r="AN23" s="247">
        <f>(AN20*'Исходные данные'!$C$6)/12</f>
        <v>458757.0621468926</v>
      </c>
      <c r="AO23" s="247">
        <f>(AO20*'Исходные данные'!$C$6)/12</f>
        <v>458757.0621468926</v>
      </c>
      <c r="AP23" s="247">
        <f>(AP20*'Исходные данные'!$C$6)/12</f>
        <v>458757.0621468926</v>
      </c>
      <c r="AQ23" s="247">
        <f>(AQ20*'Исходные данные'!$C$6)/12</f>
        <v>458757.0621468926</v>
      </c>
      <c r="AR23" s="247">
        <f>(AR20*'Исходные данные'!$C$6)/12</f>
        <v>458757.0621468926</v>
      </c>
      <c r="AS23" s="247">
        <f>(AS20*'Исходные данные'!$C$6)/12</f>
        <v>458757.0621468926</v>
      </c>
      <c r="AT23" s="247">
        <f>(AT20*'Исходные данные'!$C$6)/12</f>
        <v>458757.0621468926</v>
      </c>
      <c r="AU23" s="247">
        <f>(AU20*'Исходные данные'!$C$6)/12</f>
        <v>458757.0621468926</v>
      </c>
      <c r="AV23" s="247">
        <f>(AV20*'Исходные данные'!$C$6)/12</f>
        <v>458757.0621468926</v>
      </c>
      <c r="AW23" s="288">
        <f>(AW20*'Исходные данные'!$C$6)/12</f>
        <v>458757.0621468926</v>
      </c>
      <c r="AX23" s="348">
        <f t="shared" ref="AX23:AX32" si="39">SUM(AL23:AW23)</f>
        <v>5275706.2146892659</v>
      </c>
      <c r="AY23" s="98">
        <f>(AY20*'Исходные данные'!$C$6)/12</f>
        <v>458757.0621468926</v>
      </c>
      <c r="AZ23" s="247">
        <f>(AZ20*'Исходные данные'!$C$6)/12</f>
        <v>458757.0621468926</v>
      </c>
      <c r="BA23" s="247">
        <f>(BA20*'Исходные данные'!$C$6)/12</f>
        <v>573446.32768361573</v>
      </c>
      <c r="BB23" s="247">
        <f>(BB20*'Исходные данные'!$C$6)/12</f>
        <v>573446.32768361573</v>
      </c>
      <c r="BC23" s="247">
        <f>(BC20*'Исходные данные'!$C$6)/12</f>
        <v>573446.32768361573</v>
      </c>
      <c r="BD23" s="247">
        <f>(BD20*'Исходные данные'!$C$6)/12</f>
        <v>573446.32768361573</v>
      </c>
      <c r="BE23" s="247">
        <f>(BE20*'Исходные данные'!$C$6)/12</f>
        <v>573446.32768361573</v>
      </c>
      <c r="BF23" s="247">
        <f>(BF20*'Исходные данные'!$C$6)/12</f>
        <v>573446.32768361573</v>
      </c>
      <c r="BG23" s="247">
        <f>(BG20*'Исходные данные'!$C$6)/12</f>
        <v>573446.32768361573</v>
      </c>
      <c r="BH23" s="247">
        <f>(BH20*'Исходные данные'!$C$6)/12</f>
        <v>573446.32768361573</v>
      </c>
      <c r="BI23" s="247">
        <f>(BI20*'Исходные данные'!$C$6)/12</f>
        <v>573446.32768361573</v>
      </c>
      <c r="BJ23" s="288">
        <f>(BJ20*'Исходные данные'!$C$6)/12</f>
        <v>573446.32768361573</v>
      </c>
      <c r="BK23" s="348">
        <f t="shared" ref="BK23:BK32" si="40">SUM(AY23:BJ23)</f>
        <v>6651977.4011299415</v>
      </c>
    </row>
    <row r="24" spans="1:63" s="194" customFormat="1" ht="12" customHeight="1">
      <c r="A24" s="280" t="s">
        <v>227</v>
      </c>
      <c r="B24" s="281" t="s">
        <v>16</v>
      </c>
      <c r="C24" s="289">
        <f t="shared" si="35"/>
        <v>20050000</v>
      </c>
      <c r="D24" s="317">
        <v>500000</v>
      </c>
      <c r="E24" s="304">
        <v>400000</v>
      </c>
      <c r="F24" s="304">
        <v>350000</v>
      </c>
      <c r="G24" s="304">
        <f t="shared" ref="G24:J24" si="41">F24</f>
        <v>350000</v>
      </c>
      <c r="H24" s="304">
        <f t="shared" si="41"/>
        <v>350000</v>
      </c>
      <c r="I24" s="304">
        <f t="shared" si="41"/>
        <v>350000</v>
      </c>
      <c r="J24" s="304">
        <f t="shared" si="41"/>
        <v>350000</v>
      </c>
      <c r="K24" s="154">
        <f t="shared" si="36"/>
        <v>2650000</v>
      </c>
      <c r="L24" s="324">
        <f>J24</f>
        <v>350000</v>
      </c>
      <c r="M24" s="329">
        <f>L24</f>
        <v>350000</v>
      </c>
      <c r="N24" s="329">
        <f t="shared" ref="N24:W24" si="42">L24</f>
        <v>350000</v>
      </c>
      <c r="O24" s="329">
        <f t="shared" si="42"/>
        <v>350000</v>
      </c>
      <c r="P24" s="329">
        <f t="shared" si="42"/>
        <v>350000</v>
      </c>
      <c r="Q24" s="329">
        <f t="shared" si="42"/>
        <v>350000</v>
      </c>
      <c r="R24" s="329">
        <f t="shared" si="42"/>
        <v>350000</v>
      </c>
      <c r="S24" s="329">
        <f t="shared" si="42"/>
        <v>350000</v>
      </c>
      <c r="T24" s="329">
        <f t="shared" si="42"/>
        <v>350000</v>
      </c>
      <c r="U24" s="329">
        <f t="shared" si="42"/>
        <v>350000</v>
      </c>
      <c r="V24" s="329">
        <f t="shared" si="42"/>
        <v>350000</v>
      </c>
      <c r="W24" s="406">
        <f t="shared" si="42"/>
        <v>350000</v>
      </c>
      <c r="X24" s="346">
        <f t="shared" si="37"/>
        <v>4200000</v>
      </c>
      <c r="Y24" s="428">
        <v>500000</v>
      </c>
      <c r="Z24" s="429">
        <f>Y24</f>
        <v>500000</v>
      </c>
      <c r="AA24" s="429">
        <f t="shared" ref="AA24:AJ24" si="43">Z24</f>
        <v>500000</v>
      </c>
      <c r="AB24" s="429">
        <f t="shared" si="43"/>
        <v>500000</v>
      </c>
      <c r="AC24" s="429">
        <f t="shared" si="43"/>
        <v>500000</v>
      </c>
      <c r="AD24" s="429">
        <f t="shared" si="43"/>
        <v>500000</v>
      </c>
      <c r="AE24" s="429">
        <f t="shared" si="43"/>
        <v>500000</v>
      </c>
      <c r="AF24" s="429">
        <f t="shared" si="43"/>
        <v>500000</v>
      </c>
      <c r="AG24" s="429">
        <f t="shared" si="43"/>
        <v>500000</v>
      </c>
      <c r="AH24" s="429">
        <f t="shared" si="43"/>
        <v>500000</v>
      </c>
      <c r="AI24" s="429">
        <f t="shared" si="43"/>
        <v>500000</v>
      </c>
      <c r="AJ24" s="289">
        <f t="shared" si="43"/>
        <v>500000</v>
      </c>
      <c r="AK24" s="346">
        <f t="shared" si="38"/>
        <v>6000000</v>
      </c>
      <c r="AL24" s="428">
        <v>600000</v>
      </c>
      <c r="AM24" s="429">
        <f>AL24</f>
        <v>600000</v>
      </c>
      <c r="AN24" s="429">
        <f t="shared" ref="AN24:AP24" si="44">AM24</f>
        <v>600000</v>
      </c>
      <c r="AO24" s="429">
        <f t="shared" si="44"/>
        <v>600000</v>
      </c>
      <c r="AP24" s="429">
        <f t="shared" si="44"/>
        <v>600000</v>
      </c>
      <c r="AQ24" s="429">
        <f t="shared" ref="AQ24" si="45">AP24</f>
        <v>600000</v>
      </c>
      <c r="AR24" s="429">
        <f t="shared" ref="AR24" si="46">AQ24</f>
        <v>600000</v>
      </c>
      <c r="AS24" s="429">
        <f t="shared" ref="AS24" si="47">AR24</f>
        <v>600000</v>
      </c>
      <c r="AT24" s="429">
        <f t="shared" ref="AT24" si="48">AS24</f>
        <v>600000</v>
      </c>
      <c r="AU24" s="429">
        <f t="shared" ref="AU24" si="49">AT24</f>
        <v>600000</v>
      </c>
      <c r="AV24" s="429">
        <f t="shared" ref="AV24" si="50">AU24</f>
        <v>600000</v>
      </c>
      <c r="AW24" s="289">
        <f>AP24</f>
        <v>600000</v>
      </c>
      <c r="AX24" s="348">
        <f t="shared" si="39"/>
        <v>7200000</v>
      </c>
      <c r="AY24" s="428">
        <v>800000</v>
      </c>
      <c r="AZ24" s="429">
        <f>AY24</f>
        <v>800000</v>
      </c>
      <c r="BA24" s="429">
        <f t="shared" ref="BA24" si="51">AZ24</f>
        <v>800000</v>
      </c>
      <c r="BB24" s="429">
        <f t="shared" ref="BB24" si="52">BA24</f>
        <v>800000</v>
      </c>
      <c r="BC24" s="429">
        <f t="shared" ref="BC24" si="53">BB24</f>
        <v>800000</v>
      </c>
      <c r="BD24" s="429">
        <f t="shared" ref="BD24" si="54">BC24</f>
        <v>800000</v>
      </c>
      <c r="BE24" s="429">
        <f t="shared" ref="BE24" si="55">BD24</f>
        <v>800000</v>
      </c>
      <c r="BF24" s="429">
        <f>BE24</f>
        <v>800000</v>
      </c>
      <c r="BG24" s="429">
        <f t="shared" ref="BG24" si="56">BF24</f>
        <v>800000</v>
      </c>
      <c r="BH24" s="429">
        <f t="shared" ref="BH24" si="57">BG24</f>
        <v>800000</v>
      </c>
      <c r="BI24" s="429">
        <f t="shared" ref="BI24" si="58">BH24</f>
        <v>800000</v>
      </c>
      <c r="BJ24" s="289">
        <f>BC24</f>
        <v>800000</v>
      </c>
      <c r="BK24" s="348">
        <f t="shared" si="40"/>
        <v>9600000</v>
      </c>
    </row>
    <row r="25" spans="1:63" s="194" customFormat="1" ht="13.2">
      <c r="A25" s="179" t="s">
        <v>67</v>
      </c>
      <c r="B25" s="169" t="s">
        <v>16</v>
      </c>
      <c r="C25" s="290">
        <f t="shared" si="35"/>
        <v>5400000</v>
      </c>
      <c r="D25" s="313">
        <v>0</v>
      </c>
      <c r="E25" s="299">
        <f>('Исходные данные'!$C$8/12)*Расчёты!E7</f>
        <v>50000</v>
      </c>
      <c r="F25" s="55">
        <f>('Исходные данные'!$C$8/12)*Расчёты!F7</f>
        <v>50000</v>
      </c>
      <c r="G25" s="55">
        <f>('Исходные данные'!$C$8/12)*Расчёты!G7</f>
        <v>50000</v>
      </c>
      <c r="H25" s="55">
        <f>('Исходные данные'!$C$8/12)*Расчёты!H7</f>
        <v>50000</v>
      </c>
      <c r="I25" s="55">
        <f>('Исходные данные'!$C$8/12)*Расчёты!I7</f>
        <v>50000</v>
      </c>
      <c r="J25" s="64">
        <f>('Исходные данные'!$C$8/12)*Расчёты!J7</f>
        <v>50000</v>
      </c>
      <c r="K25" s="154">
        <f t="shared" si="36"/>
        <v>300000</v>
      </c>
      <c r="L25" s="325">
        <f>('Исходные данные'!$C$8/12)*Расчёты!L7</f>
        <v>50000</v>
      </c>
      <c r="M25" s="55">
        <f>('Исходные данные'!$C$8/12)*Расчёты!M7</f>
        <v>75000</v>
      </c>
      <c r="N25" s="55">
        <f>('Исходные данные'!$C$8/12)*Расчёты!N7</f>
        <v>75000</v>
      </c>
      <c r="O25" s="55">
        <f>('Исходные данные'!$C$8/12)*Расчёты!O7</f>
        <v>75000</v>
      </c>
      <c r="P25" s="55">
        <f>('Исходные данные'!$C$8/12)*Расчёты!P7</f>
        <v>75000</v>
      </c>
      <c r="Q25" s="55">
        <f>('Исходные данные'!$C$8/12)*Расчёты!Q7</f>
        <v>75000</v>
      </c>
      <c r="R25" s="55">
        <f>('Исходные данные'!$C$8/12)*Расчёты!R7</f>
        <v>75000</v>
      </c>
      <c r="S25" s="55">
        <f>('Исходные данные'!$C$8/12)*Расчёты!S7</f>
        <v>100000</v>
      </c>
      <c r="T25" s="55">
        <f>('Исходные данные'!$C$8/12)*Расчёты!T7</f>
        <v>100000</v>
      </c>
      <c r="U25" s="55">
        <f>('Исходные данные'!$C$8/12)*Расчёты!U7</f>
        <v>100000</v>
      </c>
      <c r="V25" s="305">
        <f>('Исходные данные'!$C$8/12)*Расчёты!V7</f>
        <v>100000</v>
      </c>
      <c r="W25" s="404">
        <f>('Исходные данные'!$C$8/12)*Расчёты!W7</f>
        <v>100000</v>
      </c>
      <c r="X25" s="346">
        <f t="shared" si="37"/>
        <v>1000000</v>
      </c>
      <c r="Y25" s="139">
        <f>('Исходные данные'!$C$8/12)*Расчёты!Y7</f>
        <v>100000</v>
      </c>
      <c r="Z25" s="55">
        <f>('Исходные данные'!$C$8/12)*Расчёты!Z7</f>
        <v>150000</v>
      </c>
      <c r="AA25" s="55">
        <f>('Исходные данные'!$C$8/12)*Расчёты!AA7</f>
        <v>150000</v>
      </c>
      <c r="AB25" s="55">
        <f>('Исходные данные'!$C$8/12)*Расчёты!AB7</f>
        <v>150000</v>
      </c>
      <c r="AC25" s="55">
        <f>('Исходные данные'!$C$8/12)*Расчёты!AC7</f>
        <v>150000</v>
      </c>
      <c r="AD25" s="55">
        <f>('Исходные данные'!$C$8/12)*Расчёты!AD7</f>
        <v>150000</v>
      </c>
      <c r="AE25" s="55">
        <f>('Исходные данные'!$C$8/12)*Расчёты!AE7</f>
        <v>150000</v>
      </c>
      <c r="AF25" s="55">
        <f>('Исходные данные'!$C$8/12)*Расчёты!AF7</f>
        <v>150000</v>
      </c>
      <c r="AG25" s="55">
        <f>('Исходные данные'!$C$8/12)*Расчёты!AG7</f>
        <v>150000</v>
      </c>
      <c r="AH25" s="55">
        <f>('Исходные данные'!$C$8/12)*Расчёты!AH7</f>
        <v>150000</v>
      </c>
      <c r="AI25" s="55">
        <f>('Исходные данные'!$C$8/12)*Расчёты!AI7</f>
        <v>150000</v>
      </c>
      <c r="AJ25" s="286">
        <f>('Исходные данные'!$C$8/12)*Расчёты!AJ7</f>
        <v>150000</v>
      </c>
      <c r="AK25" s="346">
        <f t="shared" si="38"/>
        <v>1750000</v>
      </c>
      <c r="AL25" s="139">
        <f>('Исходные данные'!$C$8/12)*Расчёты!AL7</f>
        <v>150000</v>
      </c>
      <c r="AM25" s="55">
        <f>('Исходные данные'!$C$8/12)*Расчёты!AM7</f>
        <v>200000</v>
      </c>
      <c r="AN25" s="55">
        <f>('Исходные данные'!$C$8/12)*Расчёты!AN7</f>
        <v>200000</v>
      </c>
      <c r="AO25" s="55">
        <f>('Исходные данные'!$C$8/12)*Расчёты!AO7</f>
        <v>200000</v>
      </c>
      <c r="AP25" s="55">
        <f>('Исходные данные'!$C$8/12)*Расчёты!AP7</f>
        <v>200000</v>
      </c>
      <c r="AQ25" s="55">
        <f>('Исходные данные'!$C$8/12)*Расчёты!AQ7</f>
        <v>200000</v>
      </c>
      <c r="AR25" s="55">
        <f>('Исходные данные'!$C$8/12)*Расчёты!AR7</f>
        <v>200000</v>
      </c>
      <c r="AS25" s="55">
        <f>('Исходные данные'!$C$8/12)*Расчёты!AS7</f>
        <v>200000</v>
      </c>
      <c r="AT25" s="55">
        <f>('Исходные данные'!$C$8/12)*Расчёты!AT7</f>
        <v>200000</v>
      </c>
      <c r="AU25" s="55">
        <f>('Исходные данные'!$C$8/12)*Расчёты!AU7</f>
        <v>200000</v>
      </c>
      <c r="AV25" s="55">
        <f>('Исходные данные'!$C$8/12)*Расчёты!AV7</f>
        <v>200000</v>
      </c>
      <c r="AW25" s="286">
        <f>('Исходные данные'!$C$8/12)*Расчёты!AW7</f>
        <v>200000</v>
      </c>
      <c r="AX25" s="348">
        <f t="shared" si="39"/>
        <v>2350000</v>
      </c>
      <c r="AY25" s="139">
        <f>('Исходные данные'!$C$8/12)*Расчёты!AY7</f>
        <v>200000</v>
      </c>
      <c r="AZ25" s="55">
        <f>('Исходные данные'!$C$8/12)*Расчёты!AZ7</f>
        <v>250000</v>
      </c>
      <c r="BA25" s="55">
        <f>('Исходные данные'!$C$8/12)*Расчёты!BA7</f>
        <v>250000</v>
      </c>
      <c r="BB25" s="55">
        <f>('Исходные данные'!$C$8/12)*Расчёты!BB7</f>
        <v>200000</v>
      </c>
      <c r="BC25" s="55">
        <f>('Исходные данные'!$C$8/12)*Расчёты!BC7</f>
        <v>250000</v>
      </c>
      <c r="BD25" s="55">
        <f>('Исходные данные'!$C$8/12)*Расчёты!BD7</f>
        <v>250000</v>
      </c>
      <c r="BE25" s="55">
        <f>('Исходные данные'!$C$8/12)*Расчёты!BE7</f>
        <v>250000</v>
      </c>
      <c r="BF25" s="55">
        <f>('Исходные данные'!$C$8/12)*Расчёты!BF7</f>
        <v>250000</v>
      </c>
      <c r="BG25" s="55">
        <f>('Исходные данные'!$C$8/12)*Расчёты!BG7</f>
        <v>250000</v>
      </c>
      <c r="BH25" s="55">
        <f>('Исходные данные'!$C$8/12)*Расчёты!BH7</f>
        <v>250000</v>
      </c>
      <c r="BI25" s="55">
        <f>('Исходные данные'!$C$8/12)*Расчёты!BI7</f>
        <v>250000</v>
      </c>
      <c r="BJ25" s="286">
        <f>('Исходные данные'!$C$8/12)*Расчёты!BJ7</f>
        <v>250000</v>
      </c>
      <c r="BK25" s="348">
        <f t="shared" si="40"/>
        <v>2900000</v>
      </c>
    </row>
    <row r="26" spans="1:63" s="194" customFormat="1" ht="13.2">
      <c r="A26" s="179" t="s">
        <v>68</v>
      </c>
      <c r="B26" s="169" t="s">
        <v>16</v>
      </c>
      <c r="C26" s="290">
        <f t="shared" si="35"/>
        <v>18000000</v>
      </c>
      <c r="D26" s="313">
        <v>0</v>
      </c>
      <c r="E26" s="299">
        <f>E11*'Исходные данные'!$C$9</f>
        <v>200000</v>
      </c>
      <c r="F26" s="55">
        <f>F11*'Исходные данные'!$C$9</f>
        <v>400000</v>
      </c>
      <c r="G26" s="55">
        <f>G11*'Исходные данные'!$C$9</f>
        <v>800000</v>
      </c>
      <c r="H26" s="55">
        <f>H11*'Исходные данные'!$C$9</f>
        <v>1000000</v>
      </c>
      <c r="I26" s="55">
        <f>I11*'Исходные данные'!$C$9</f>
        <v>1200000</v>
      </c>
      <c r="J26" s="64">
        <f>J11*'Исходные данные'!$C$9</f>
        <v>1200000</v>
      </c>
      <c r="K26" s="154">
        <f t="shared" si="36"/>
        <v>4800000</v>
      </c>
      <c r="L26" s="325">
        <f>L11*'Исходные данные'!$C$9</f>
        <v>1200000</v>
      </c>
      <c r="M26" s="55">
        <f>M11*'Исходные данные'!$C$9</f>
        <v>1200000</v>
      </c>
      <c r="N26" s="55">
        <f>N11*'Исходные данные'!$C$9</f>
        <v>1200000</v>
      </c>
      <c r="O26" s="55">
        <f>O11*'Исходные данные'!$C$9</f>
        <v>1200000</v>
      </c>
      <c r="P26" s="55">
        <f>P11*'Исходные данные'!$C$9</f>
        <v>1200000</v>
      </c>
      <c r="Q26" s="55">
        <f>Q11*'Исходные данные'!$C$9</f>
        <v>1200000</v>
      </c>
      <c r="R26" s="55">
        <f>R11*'Исходные данные'!$C$9</f>
        <v>1200000</v>
      </c>
      <c r="S26" s="55">
        <f>S11*'Исходные данные'!$C$9</f>
        <v>1200000</v>
      </c>
      <c r="T26" s="55">
        <f>T11*'Исходные данные'!$C$9</f>
        <v>600000</v>
      </c>
      <c r="U26" s="55">
        <f>U11*'Исходные данные'!$C$9</f>
        <v>600000</v>
      </c>
      <c r="V26" s="305">
        <f>V11*'Исходные данные'!$C$9</f>
        <v>600000</v>
      </c>
      <c r="W26" s="404">
        <f>W11*'Исходные данные'!$C$9</f>
        <v>600000</v>
      </c>
      <c r="X26" s="346">
        <f t="shared" si="37"/>
        <v>12000000</v>
      </c>
      <c r="Y26" s="139">
        <f>Y11*'Исходные данные'!$C$9</f>
        <v>600000</v>
      </c>
      <c r="Z26" s="55">
        <f>Z11*'Исходные данные'!$C$9</f>
        <v>600000</v>
      </c>
      <c r="AA26" s="55">
        <f>AA11*'Исходные данные'!$C$9</f>
        <v>0</v>
      </c>
      <c r="AB26" s="55">
        <f>AB11*'Исходные данные'!$C$9</f>
        <v>0</v>
      </c>
      <c r="AC26" s="55">
        <f>AC11*'Исходные данные'!$C$9</f>
        <v>0</v>
      </c>
      <c r="AD26" s="55">
        <f>AD11*'Исходные данные'!$C$9</f>
        <v>0</v>
      </c>
      <c r="AE26" s="55">
        <f>AE11*'Исходные данные'!$C$9</f>
        <v>0</v>
      </c>
      <c r="AF26" s="55">
        <f>AF11*'Исходные данные'!$C$9</f>
        <v>0</v>
      </c>
      <c r="AG26" s="55">
        <f>AG11*'Исходные данные'!$C$9</f>
        <v>0</v>
      </c>
      <c r="AH26" s="55">
        <f>AH11*'Исходные данные'!$C$9</f>
        <v>0</v>
      </c>
      <c r="AI26" s="55">
        <f>AI11*'Исходные данные'!$C$9</f>
        <v>0</v>
      </c>
      <c r="AJ26" s="286">
        <f>AJ11*'Исходные данные'!$C$9</f>
        <v>0</v>
      </c>
      <c r="AK26" s="346">
        <f t="shared" si="38"/>
        <v>1200000</v>
      </c>
      <c r="AL26" s="139">
        <f>AL11*'Исходные данные'!$C$9</f>
        <v>0</v>
      </c>
      <c r="AM26" s="55">
        <f>AM11*'Исходные данные'!$C$9</f>
        <v>0</v>
      </c>
      <c r="AN26" s="55">
        <f>AN11*'Исходные данные'!$C$9</f>
        <v>0</v>
      </c>
      <c r="AO26" s="55">
        <f>AO11*'Исходные данные'!$C$9</f>
        <v>0</v>
      </c>
      <c r="AP26" s="55">
        <f>AP11*'Исходные данные'!$C$9</f>
        <v>0</v>
      </c>
      <c r="AQ26" s="55">
        <f>AQ11*'Исходные данные'!$C$9</f>
        <v>0</v>
      </c>
      <c r="AR26" s="55">
        <f>AR11*'Исходные данные'!$C$9</f>
        <v>0</v>
      </c>
      <c r="AS26" s="55">
        <f>AS11*'Исходные данные'!$C$9</f>
        <v>0</v>
      </c>
      <c r="AT26" s="55">
        <f>AT11*'Исходные данные'!$C$9</f>
        <v>0</v>
      </c>
      <c r="AU26" s="55">
        <f>AU11*'Исходные данные'!$C$9</f>
        <v>0</v>
      </c>
      <c r="AV26" s="55">
        <f>AV11*'Исходные данные'!$C$9</f>
        <v>0</v>
      </c>
      <c r="AW26" s="286">
        <f>AW11*'Исходные данные'!$C$9</f>
        <v>0</v>
      </c>
      <c r="AX26" s="348">
        <f t="shared" si="39"/>
        <v>0</v>
      </c>
      <c r="AY26" s="139">
        <f>AY11*'Исходные данные'!$C$9</f>
        <v>0</v>
      </c>
      <c r="AZ26" s="55">
        <f>AZ11*'Исходные данные'!$C$9</f>
        <v>0</v>
      </c>
      <c r="BA26" s="55">
        <f>BA11*'Исходные данные'!$C$9</f>
        <v>0</v>
      </c>
      <c r="BB26" s="55">
        <f>BB11*'Исходные данные'!$C$9</f>
        <v>0</v>
      </c>
      <c r="BC26" s="55">
        <f>BC11*'Исходные данные'!$C$9</f>
        <v>0</v>
      </c>
      <c r="BD26" s="55">
        <f>BD11*'Исходные данные'!$C$9</f>
        <v>0</v>
      </c>
      <c r="BE26" s="55">
        <f>BE11*'Исходные данные'!$C$9</f>
        <v>0</v>
      </c>
      <c r="BF26" s="55">
        <f>BF11*'Исходные данные'!$C$9</f>
        <v>0</v>
      </c>
      <c r="BG26" s="55">
        <f>BG11*'Исходные данные'!$C$9</f>
        <v>0</v>
      </c>
      <c r="BH26" s="55">
        <f>BH11*'Исходные данные'!$C$9</f>
        <v>0</v>
      </c>
      <c r="BI26" s="55">
        <f>BI11*'Исходные данные'!$C$9</f>
        <v>0</v>
      </c>
      <c r="BJ26" s="286">
        <f>BJ11*'Исходные данные'!$C$9</f>
        <v>0</v>
      </c>
      <c r="BK26" s="348">
        <f t="shared" si="40"/>
        <v>0</v>
      </c>
    </row>
    <row r="27" spans="1:63" s="194" customFormat="1" ht="13.2">
      <c r="A27" s="179" t="s">
        <v>69</v>
      </c>
      <c r="B27" s="169" t="s">
        <v>16</v>
      </c>
      <c r="C27" s="290">
        <f t="shared" si="35"/>
        <v>42840000</v>
      </c>
      <c r="D27" s="313">
        <v>0</v>
      </c>
      <c r="E27" s="299">
        <f>E13*'Исходные данные'!$C$10</f>
        <v>70000</v>
      </c>
      <c r="F27" s="55">
        <f>F13*'Исходные данные'!$C$10</f>
        <v>140000</v>
      </c>
      <c r="G27" s="55">
        <f>G13*'Исходные данные'!$C$10</f>
        <v>280000</v>
      </c>
      <c r="H27" s="55">
        <f>H13*'Исходные данные'!$C$10</f>
        <v>350000</v>
      </c>
      <c r="I27" s="55">
        <f>I13*'Исходные данные'!$C$10</f>
        <v>420000</v>
      </c>
      <c r="J27" s="64">
        <f>J13*'Исходные данные'!$C$10</f>
        <v>420000</v>
      </c>
      <c r="K27" s="154">
        <f t="shared" si="36"/>
        <v>1680000</v>
      </c>
      <c r="L27" s="325">
        <f>L13*'Исходные данные'!$C$10</f>
        <v>420000</v>
      </c>
      <c r="M27" s="55">
        <f>M13*'Исходные данные'!$C$10</f>
        <v>420000</v>
      </c>
      <c r="N27" s="55">
        <f>N13*'Исходные данные'!$C$10</f>
        <v>630000</v>
      </c>
      <c r="O27" s="55">
        <f>O13*'Исходные данные'!$C$10</f>
        <v>630000</v>
      </c>
      <c r="P27" s="55">
        <f>P13*'Исходные данные'!$C$10</f>
        <v>630000</v>
      </c>
      <c r="Q27" s="55">
        <f>Q13*'Исходные данные'!$C$10</f>
        <v>630000</v>
      </c>
      <c r="R27" s="55">
        <f>R13*'Исходные данные'!$C$10</f>
        <v>630000</v>
      </c>
      <c r="S27" s="55">
        <f>S13*'Исходные данные'!$C$10</f>
        <v>630000</v>
      </c>
      <c r="T27" s="55">
        <f>T13*'Исходные данные'!$C$10</f>
        <v>700000</v>
      </c>
      <c r="U27" s="55">
        <f>U13*'Исходные данные'!$C$10</f>
        <v>840000</v>
      </c>
      <c r="V27" s="305">
        <f>V13*'Исходные данные'!$C$10</f>
        <v>840000</v>
      </c>
      <c r="W27" s="404">
        <f>W13*'Исходные данные'!$C$10</f>
        <v>840000</v>
      </c>
      <c r="X27" s="346">
        <f t="shared" si="37"/>
        <v>7840000</v>
      </c>
      <c r="Y27" s="139">
        <f>Y13*'Исходные данные'!$C$10</f>
        <v>840000</v>
      </c>
      <c r="Z27" s="55">
        <f>Z13*'Исходные данные'!$C$10</f>
        <v>840000</v>
      </c>
      <c r="AA27" s="55">
        <f>AA13*'Исходные данные'!$C$10</f>
        <v>1120000</v>
      </c>
      <c r="AB27" s="55">
        <f>AB13*'Исходные данные'!$C$10</f>
        <v>1260000</v>
      </c>
      <c r="AC27" s="55">
        <f>AC13*'Исходные данные'!$C$10</f>
        <v>1260000</v>
      </c>
      <c r="AD27" s="55">
        <f>AD13*'Исходные данные'!$C$10</f>
        <v>1260000</v>
      </c>
      <c r="AE27" s="55">
        <f>AE13*'Исходные данные'!$C$10</f>
        <v>1260000</v>
      </c>
      <c r="AF27" s="55">
        <f>AF13*'Исходные данные'!$C$10</f>
        <v>1260000</v>
      </c>
      <c r="AG27" s="55">
        <f>AG13*'Исходные данные'!$C$10</f>
        <v>1260000</v>
      </c>
      <c r="AH27" s="55">
        <f>AH13*'Исходные данные'!$C$10</f>
        <v>1260000</v>
      </c>
      <c r="AI27" s="55">
        <f>AI13*'Исходные данные'!$C$10</f>
        <v>1260000</v>
      </c>
      <c r="AJ27" s="286">
        <f>AJ13*'Исходные данные'!$C$10</f>
        <v>1260000</v>
      </c>
      <c r="AK27" s="346">
        <f t="shared" si="38"/>
        <v>14140000</v>
      </c>
      <c r="AL27" s="139">
        <f>AL13*'Исходные данные'!$C$10</f>
        <v>1260000</v>
      </c>
      <c r="AM27" s="55">
        <f>AM13*'Исходные данные'!$C$10</f>
        <v>1260000</v>
      </c>
      <c r="AN27" s="55">
        <f>AN13*'Исходные данные'!$C$10</f>
        <v>1540000</v>
      </c>
      <c r="AO27" s="55">
        <f>AO13*'Исходные данные'!$C$10</f>
        <v>1680000</v>
      </c>
      <c r="AP27" s="55">
        <f>AP13*'Исходные данные'!$C$10</f>
        <v>1680000</v>
      </c>
      <c r="AQ27" s="55">
        <f>AQ13*'Исходные данные'!$C$10</f>
        <v>1680000</v>
      </c>
      <c r="AR27" s="55">
        <f>AR13*'Исходные данные'!$C$10</f>
        <v>1680000</v>
      </c>
      <c r="AS27" s="55">
        <f>AS13*'Исходные данные'!$C$10</f>
        <v>1680000</v>
      </c>
      <c r="AT27" s="55">
        <f>AT13*'Исходные данные'!$C$10</f>
        <v>1680000</v>
      </c>
      <c r="AU27" s="55">
        <f>AU13*'Исходные данные'!$C$10</f>
        <v>1680000</v>
      </c>
      <c r="AV27" s="55">
        <f>AV13*'Исходные данные'!$C$10</f>
        <v>1680000</v>
      </c>
      <c r="AW27" s="286">
        <f>AW13*'Исходные данные'!$C$10</f>
        <v>1680000</v>
      </c>
      <c r="AX27" s="348">
        <f t="shared" si="39"/>
        <v>19180000</v>
      </c>
      <c r="AY27" s="139">
        <f>AY13*'Исходные данные'!$C$10</f>
        <v>1680000</v>
      </c>
      <c r="AZ27" s="55">
        <f>AZ13*'Исходные данные'!$C$10</f>
        <v>1680000</v>
      </c>
      <c r="BA27" s="55">
        <f>BA13*'Исходные данные'!$C$10</f>
        <v>2100000</v>
      </c>
      <c r="BB27" s="55">
        <f>BB13*'Исходные данные'!$C$10</f>
        <v>2100000</v>
      </c>
      <c r="BC27" s="55">
        <f>BC13*'Исходные данные'!$C$10</f>
        <v>2100000</v>
      </c>
      <c r="BD27" s="55">
        <f>BD13*'Исходные данные'!$C$10</f>
        <v>2100000</v>
      </c>
      <c r="BE27" s="55">
        <f>BE13*'Исходные данные'!$C$10</f>
        <v>2100000</v>
      </c>
      <c r="BF27" s="55">
        <f>BF13*'Исходные данные'!$C$10</f>
        <v>2100000</v>
      </c>
      <c r="BG27" s="55">
        <f>BG13*'Исходные данные'!$C$10</f>
        <v>2100000</v>
      </c>
      <c r="BH27" s="55">
        <f>BH13*'Исходные данные'!$C$10</f>
        <v>2100000</v>
      </c>
      <c r="BI27" s="55">
        <f>BI13*'Исходные данные'!$C$10</f>
        <v>2100000</v>
      </c>
      <c r="BJ27" s="286">
        <f>BJ13*'Исходные данные'!$C$10</f>
        <v>2100000</v>
      </c>
      <c r="BK27" s="348">
        <f t="shared" si="40"/>
        <v>24360000</v>
      </c>
    </row>
    <row r="28" spans="1:63" s="194" customFormat="1" ht="13.2">
      <c r="A28" s="349" t="s">
        <v>237</v>
      </c>
      <c r="B28" s="169" t="s">
        <v>16</v>
      </c>
      <c r="C28" s="290">
        <f t="shared" si="35"/>
        <v>30039400</v>
      </c>
      <c r="D28" s="318">
        <f>База!$G$55+База!$G$68+База!G19/2+База!G40/2</f>
        <v>2200500</v>
      </c>
      <c r="E28" s="305">
        <f>База!$G$55+База!$G$68+База!G19/2+База!G40/2</f>
        <v>2200500</v>
      </c>
      <c r="F28" s="55">
        <f>База!$G$55+База!$G$68</f>
        <v>632000</v>
      </c>
      <c r="G28" s="55">
        <f>База!$G$55+База!$G$68</f>
        <v>632000</v>
      </c>
      <c r="H28" s="55">
        <f>База!$G$55+База!$G$68</f>
        <v>632000</v>
      </c>
      <c r="I28" s="55">
        <f>База!$G$55+База!$G$68</f>
        <v>632000</v>
      </c>
      <c r="J28" s="55">
        <f>База!$G$55+База!$G$68</f>
        <v>632000</v>
      </c>
      <c r="K28" s="154">
        <f t="shared" si="36"/>
        <v>7561000</v>
      </c>
      <c r="L28" s="325">
        <f>База!$G$82+База!$G$94</f>
        <v>624400</v>
      </c>
      <c r="M28" s="55">
        <f t="shared" ref="M28:W28" si="59">L28</f>
        <v>624400</v>
      </c>
      <c r="N28" s="55">
        <f t="shared" si="59"/>
        <v>624400</v>
      </c>
      <c r="O28" s="55">
        <f t="shared" si="59"/>
        <v>624400</v>
      </c>
      <c r="P28" s="55">
        <f t="shared" si="59"/>
        <v>624400</v>
      </c>
      <c r="Q28" s="55">
        <f t="shared" si="59"/>
        <v>624400</v>
      </c>
      <c r="R28" s="55">
        <f t="shared" si="59"/>
        <v>624400</v>
      </c>
      <c r="S28" s="55">
        <f t="shared" si="59"/>
        <v>624400</v>
      </c>
      <c r="T28" s="55">
        <f t="shared" si="59"/>
        <v>624400</v>
      </c>
      <c r="U28" s="55">
        <f t="shared" si="59"/>
        <v>624400</v>
      </c>
      <c r="V28" s="305">
        <f t="shared" si="59"/>
        <v>624400</v>
      </c>
      <c r="W28" s="64">
        <f t="shared" si="59"/>
        <v>624400</v>
      </c>
      <c r="X28" s="154">
        <f t="shared" si="37"/>
        <v>7492800</v>
      </c>
      <c r="Y28" s="139">
        <f>W28</f>
        <v>624400</v>
      </c>
      <c r="Z28" s="55">
        <f t="shared" ref="Z28:AJ28" si="60">Y28</f>
        <v>624400</v>
      </c>
      <c r="AA28" s="55">
        <f t="shared" si="60"/>
        <v>624400</v>
      </c>
      <c r="AB28" s="55">
        <f t="shared" si="60"/>
        <v>624400</v>
      </c>
      <c r="AC28" s="55">
        <f t="shared" si="60"/>
        <v>624400</v>
      </c>
      <c r="AD28" s="55">
        <f t="shared" si="60"/>
        <v>624400</v>
      </c>
      <c r="AE28" s="55">
        <f t="shared" si="60"/>
        <v>624400</v>
      </c>
      <c r="AF28" s="55">
        <f t="shared" si="60"/>
        <v>624400</v>
      </c>
      <c r="AG28" s="55">
        <f t="shared" si="60"/>
        <v>624400</v>
      </c>
      <c r="AH28" s="55">
        <f t="shared" si="60"/>
        <v>624400</v>
      </c>
      <c r="AI28" s="55">
        <f t="shared" si="60"/>
        <v>624400</v>
      </c>
      <c r="AJ28" s="336">
        <f t="shared" si="60"/>
        <v>624400</v>
      </c>
      <c r="AK28" s="154">
        <f t="shared" si="38"/>
        <v>7492800</v>
      </c>
      <c r="AL28" s="139">
        <f>AJ28</f>
        <v>624400</v>
      </c>
      <c r="AM28" s="55">
        <f>AL28</f>
        <v>624400</v>
      </c>
      <c r="AN28" s="55">
        <f>AM28</f>
        <v>624400</v>
      </c>
      <c r="AO28" s="55">
        <f>AN28</f>
        <v>624400</v>
      </c>
      <c r="AP28" s="55">
        <f>AO28</f>
        <v>624400</v>
      </c>
      <c r="AQ28" s="55">
        <f t="shared" ref="AQ28:AV28" si="61">AP28</f>
        <v>624400</v>
      </c>
      <c r="AR28" s="55">
        <f t="shared" si="61"/>
        <v>624400</v>
      </c>
      <c r="AS28" s="55">
        <f t="shared" si="61"/>
        <v>624400</v>
      </c>
      <c r="AT28" s="55">
        <f t="shared" si="61"/>
        <v>624400</v>
      </c>
      <c r="AU28" s="55">
        <f t="shared" si="61"/>
        <v>624400</v>
      </c>
      <c r="AV28" s="55">
        <f t="shared" si="61"/>
        <v>624400</v>
      </c>
      <c r="AW28" s="336">
        <f>AP28</f>
        <v>624400</v>
      </c>
      <c r="AX28" s="245">
        <f t="shared" si="39"/>
        <v>7492800</v>
      </c>
      <c r="AY28" s="139">
        <f>AW28</f>
        <v>624400</v>
      </c>
      <c r="AZ28" s="55">
        <f>AY28</f>
        <v>624400</v>
      </c>
      <c r="BA28" s="55">
        <f>AZ28</f>
        <v>624400</v>
      </c>
      <c r="BB28" s="55">
        <f>BA28</f>
        <v>624400</v>
      </c>
      <c r="BC28" s="55">
        <f>BB28</f>
        <v>624400</v>
      </c>
      <c r="BD28" s="55">
        <f t="shared" ref="BD28:BD29" si="62">BC28</f>
        <v>624400</v>
      </c>
      <c r="BE28" s="55">
        <f t="shared" ref="BE28:BE29" si="63">BD28</f>
        <v>624400</v>
      </c>
      <c r="BF28" s="55">
        <f t="shared" ref="BF28:BF29" si="64">BE28</f>
        <v>624400</v>
      </c>
      <c r="BG28" s="55">
        <f t="shared" ref="BG28:BG29" si="65">BF28</f>
        <v>624400</v>
      </c>
      <c r="BH28" s="55">
        <f t="shared" ref="BH28:BH29" si="66">BG28</f>
        <v>624400</v>
      </c>
      <c r="BI28" s="55">
        <f t="shared" ref="BI28:BI29" si="67">BH28</f>
        <v>624400</v>
      </c>
      <c r="BJ28" s="336">
        <f>BC28</f>
        <v>624400</v>
      </c>
      <c r="BK28" s="245">
        <f t="shared" si="40"/>
        <v>7492800</v>
      </c>
    </row>
    <row r="29" spans="1:63" s="194" customFormat="1" ht="13.2">
      <c r="A29" s="179" t="s">
        <v>70</v>
      </c>
      <c r="B29" s="169" t="s">
        <v>16</v>
      </c>
      <c r="C29" s="290">
        <f t="shared" si="35"/>
        <v>10614530.82424242</v>
      </c>
      <c r="D29" s="313">
        <f>Транспорт!$G$30</f>
        <v>19235.842424242423</v>
      </c>
      <c r="E29" s="299">
        <f>Транспорт!$G$30</f>
        <v>19235.842424242423</v>
      </c>
      <c r="F29" s="55">
        <f>Транспорт!$G$30</f>
        <v>19235.842424242423</v>
      </c>
      <c r="G29" s="55">
        <f>Транспорт!$G$30</f>
        <v>19235.842424242423</v>
      </c>
      <c r="H29" s="55">
        <f>Транспорт!$G$30</f>
        <v>19235.842424242423</v>
      </c>
      <c r="I29" s="55">
        <f>Транспорт!$G$30</f>
        <v>19235.842424242423</v>
      </c>
      <c r="J29" s="64">
        <f>Транспорт!$G$30</f>
        <v>19235.842424242423</v>
      </c>
      <c r="K29" s="154">
        <f t="shared" si="36"/>
        <v>134650.89696969697</v>
      </c>
      <c r="L29" s="326">
        <f>Транспорт!$G$30</f>
        <v>19235.842424242423</v>
      </c>
      <c r="M29" s="330">
        <f>Транспорт!$G$30</f>
        <v>19235.842424242423</v>
      </c>
      <c r="N29" s="331">
        <f>($M$29+(Транспорт!$G$30*Расчёты!$M$9))+(Транспорт!$G$55*Расчёты!$L$10)</f>
        <v>86868.41212121211</v>
      </c>
      <c r="O29" s="55">
        <f>N29</f>
        <v>86868.41212121211</v>
      </c>
      <c r="P29" s="55">
        <f>O29</f>
        <v>86868.41212121211</v>
      </c>
      <c r="Q29" s="55">
        <f>P29</f>
        <v>86868.41212121211</v>
      </c>
      <c r="R29" s="55">
        <f>Q29</f>
        <v>86868.41212121211</v>
      </c>
      <c r="S29" s="55">
        <f>R29</f>
        <v>86868.41212121211</v>
      </c>
      <c r="T29" s="55">
        <f>S29+(Транспорт!G55*Расчёты!R10)</f>
        <v>183661.86666666664</v>
      </c>
      <c r="U29" s="55">
        <f>T29</f>
        <v>183661.86666666664</v>
      </c>
      <c r="V29" s="305">
        <f>U29</f>
        <v>183661.86666666664</v>
      </c>
      <c r="W29" s="64">
        <f>V29</f>
        <v>183661.86666666664</v>
      </c>
      <c r="X29" s="154">
        <f t="shared" si="37"/>
        <v>1294329.6242424243</v>
      </c>
      <c r="Y29" s="139">
        <f>W29</f>
        <v>183661.86666666664</v>
      </c>
      <c r="Z29" s="55">
        <f>Y29</f>
        <v>183661.86666666664</v>
      </c>
      <c r="AA29" s="55">
        <f>(Z29+(Транспорт!G30*Расчёты!Z9))+(Транспорт!G55*Расчёты!Y10)</f>
        <v>348087.89090909087</v>
      </c>
      <c r="AB29" s="55">
        <f t="shared" ref="AB29:AJ29" si="68">AA29</f>
        <v>348087.89090909087</v>
      </c>
      <c r="AC29" s="55">
        <f t="shared" si="68"/>
        <v>348087.89090909087</v>
      </c>
      <c r="AD29" s="55">
        <f t="shared" si="68"/>
        <v>348087.89090909087</v>
      </c>
      <c r="AE29" s="55">
        <f t="shared" si="68"/>
        <v>348087.89090909087</v>
      </c>
      <c r="AF29" s="55">
        <f t="shared" si="68"/>
        <v>348087.89090909087</v>
      </c>
      <c r="AG29" s="55">
        <f t="shared" si="68"/>
        <v>348087.89090909087</v>
      </c>
      <c r="AH29" s="55">
        <f t="shared" si="68"/>
        <v>348087.89090909087</v>
      </c>
      <c r="AI29" s="55">
        <f t="shared" si="68"/>
        <v>348087.89090909087</v>
      </c>
      <c r="AJ29" s="336">
        <f t="shared" si="68"/>
        <v>348087.89090909087</v>
      </c>
      <c r="AK29" s="154">
        <f t="shared" si="38"/>
        <v>3848202.6424242407</v>
      </c>
      <c r="AL29" s="139">
        <f>AJ29</f>
        <v>348087.89090909087</v>
      </c>
      <c r="AM29" s="55">
        <f>AL29</f>
        <v>348087.89090909087</v>
      </c>
      <c r="AN29" s="55">
        <f>(AM29+(Транспорт!G30*Расчёты!AM9))+(Транспорт!G55*Расчёты!AL10)</f>
        <v>464117.18787878781</v>
      </c>
      <c r="AO29" s="55">
        <f>AN29</f>
        <v>464117.18787878781</v>
      </c>
      <c r="AP29" s="55">
        <f>AO29</f>
        <v>464117.18787878781</v>
      </c>
      <c r="AQ29" s="55">
        <f t="shared" ref="AQ29:AV29" si="69">AP29</f>
        <v>464117.18787878781</v>
      </c>
      <c r="AR29" s="55">
        <f t="shared" si="69"/>
        <v>464117.18787878781</v>
      </c>
      <c r="AS29" s="55">
        <f t="shared" si="69"/>
        <v>464117.18787878781</v>
      </c>
      <c r="AT29" s="55">
        <f t="shared" si="69"/>
        <v>464117.18787878781</v>
      </c>
      <c r="AU29" s="55">
        <f t="shared" si="69"/>
        <v>464117.18787878781</v>
      </c>
      <c r="AV29" s="55">
        <f t="shared" si="69"/>
        <v>464117.18787878781</v>
      </c>
      <c r="AW29" s="336">
        <f>AP29</f>
        <v>464117.18787878781</v>
      </c>
      <c r="AX29" s="245">
        <f t="shared" si="39"/>
        <v>5337347.6606060592</v>
      </c>
      <c r="AY29" s="139">
        <f>AW29</f>
        <v>464117.18787878781</v>
      </c>
      <c r="AZ29" s="55">
        <f>AY29</f>
        <v>464117.18787878781</v>
      </c>
      <c r="BA29" s="55">
        <f>(AZ29+(Транспорт!T30*Расчёты!AZ9))+(Транспорт!T55*Расчёты!AY10)</f>
        <v>464117.18787878781</v>
      </c>
      <c r="BB29" s="55">
        <f>BA29</f>
        <v>464117.18787878781</v>
      </c>
      <c r="BC29" s="55">
        <f>BB29</f>
        <v>464117.18787878781</v>
      </c>
      <c r="BD29" s="55">
        <f t="shared" si="62"/>
        <v>464117.18787878781</v>
      </c>
      <c r="BE29" s="55">
        <f t="shared" si="63"/>
        <v>464117.18787878781</v>
      </c>
      <c r="BF29" s="55">
        <f t="shared" si="64"/>
        <v>464117.18787878781</v>
      </c>
      <c r="BG29" s="55">
        <f t="shared" si="65"/>
        <v>464117.18787878781</v>
      </c>
      <c r="BH29" s="55">
        <f t="shared" si="66"/>
        <v>464117.18787878781</v>
      </c>
      <c r="BI29" s="55">
        <f t="shared" si="67"/>
        <v>464117.18787878781</v>
      </c>
      <c r="BJ29" s="336">
        <f>BC29</f>
        <v>464117.18787878781</v>
      </c>
      <c r="BK29" s="245">
        <f t="shared" si="40"/>
        <v>5569406.2545454539</v>
      </c>
    </row>
    <row r="30" spans="1:63" s="194" customFormat="1" ht="13.2">
      <c r="A30" s="179" t="s">
        <v>71</v>
      </c>
      <c r="B30" s="169" t="s">
        <v>16</v>
      </c>
      <c r="C30" s="290">
        <f t="shared" si="35"/>
        <v>67160000</v>
      </c>
      <c r="D30" s="313">
        <f>Персонал!E26+(Персонал!E68*Расчёты!D7)</f>
        <v>1160000</v>
      </c>
      <c r="E30" s="299">
        <f t="shared" ref="E30:J30" si="70">D30</f>
        <v>1160000</v>
      </c>
      <c r="F30" s="55">
        <f t="shared" si="70"/>
        <v>1160000</v>
      </c>
      <c r="G30" s="55">
        <f t="shared" si="70"/>
        <v>1160000</v>
      </c>
      <c r="H30" s="55">
        <f t="shared" si="70"/>
        <v>1160000</v>
      </c>
      <c r="I30" s="55">
        <f t="shared" si="70"/>
        <v>1160000</v>
      </c>
      <c r="J30" s="64">
        <f t="shared" si="70"/>
        <v>1160000</v>
      </c>
      <c r="K30" s="154">
        <f t="shared" si="36"/>
        <v>8120000</v>
      </c>
      <c r="L30" s="325">
        <f>Персонал!$E$59+(Персонал!$E$68*Расчёты!L7)</f>
        <v>1145000</v>
      </c>
      <c r="M30" s="55">
        <f>Персонал!$E$59+(Персонал!$E$68*Расчёты!M7)</f>
        <v>1280000</v>
      </c>
      <c r="N30" s="55">
        <f>Персонал!$E$59+(Персонал!$E$68*Расчёты!N7)</f>
        <v>1280000</v>
      </c>
      <c r="O30" s="55">
        <f>Персонал!$E$59+(Персонал!$E$68*Расчёты!O7)</f>
        <v>1280000</v>
      </c>
      <c r="P30" s="55">
        <f>Персонал!$E$59+(Персонал!$E$68*Расчёты!P7)</f>
        <v>1280000</v>
      </c>
      <c r="Q30" s="55">
        <f>Персонал!$E$59+(Персонал!$E$68*Расчёты!Q7)</f>
        <v>1280000</v>
      </c>
      <c r="R30" s="55">
        <f>Персонал!$E$59+(Персонал!$E$68*Расчёты!R7)</f>
        <v>1280000</v>
      </c>
      <c r="S30" s="55">
        <f>Персонал!$E$59+(Персонал!$E$68*Расчёты!S7)</f>
        <v>1415000</v>
      </c>
      <c r="T30" s="55">
        <f>Персонал!$E$59+(Персонал!$E$68*Расчёты!T7)</f>
        <v>1415000</v>
      </c>
      <c r="U30" s="55">
        <f>Персонал!$E$59+(Персонал!$E$68*Расчёты!U7)</f>
        <v>1415000</v>
      </c>
      <c r="V30" s="305">
        <f>Персонал!$E$59+(Персонал!$E$68*Расчёты!V7)</f>
        <v>1415000</v>
      </c>
      <c r="W30" s="404">
        <f>Персонал!$E$59+(Персонал!$E$68*Расчёты!W7)</f>
        <v>1415000</v>
      </c>
      <c r="X30" s="346">
        <f t="shared" si="37"/>
        <v>15900000</v>
      </c>
      <c r="Y30" s="139">
        <f>Персонал!$E$59+(Персонал!$E$68*Расчёты!Y7)</f>
        <v>1415000</v>
      </c>
      <c r="Z30" s="55">
        <f>Персонал!$E$59+(Персонал!$E$68*Расчёты!Z7)</f>
        <v>1685000</v>
      </c>
      <c r="AA30" s="55">
        <f>Персонал!$E$59+(Персонал!$E$68*Расчёты!AA7)</f>
        <v>1685000</v>
      </c>
      <c r="AB30" s="55">
        <f>Персонал!$E$59+(Персонал!$E$68*Расчёты!AB7)</f>
        <v>1685000</v>
      </c>
      <c r="AC30" s="55">
        <f>Персонал!$E$59+(Персонал!$E$68*Расчёты!AC7)</f>
        <v>1685000</v>
      </c>
      <c r="AD30" s="55">
        <f>Персонал!$E$59+(Персонал!$E$68*Расчёты!AD7)</f>
        <v>1685000</v>
      </c>
      <c r="AE30" s="55">
        <f>Персонал!$E$59+(Персонал!$E$68*Расчёты!AE7)</f>
        <v>1685000</v>
      </c>
      <c r="AF30" s="55">
        <f>Персонал!$E$59+(Персонал!$E$68*Расчёты!AF7)</f>
        <v>1685000</v>
      </c>
      <c r="AG30" s="55">
        <f>Персонал!$E$59+(Персонал!$E$68*Расчёты!AG7)</f>
        <v>1685000</v>
      </c>
      <c r="AH30" s="55">
        <f>Персонал!$E$59+(Персонал!$E$68*Расчёты!AH7)</f>
        <v>1685000</v>
      </c>
      <c r="AI30" s="55">
        <f>Персонал!$E$59+(Персонал!$E$68*Расчёты!AI7)</f>
        <v>1685000</v>
      </c>
      <c r="AJ30" s="286">
        <f>Персонал!$E$59+(Персонал!$E$68*Расчёты!AJ7)</f>
        <v>1685000</v>
      </c>
      <c r="AK30" s="346">
        <f t="shared" si="38"/>
        <v>19950000</v>
      </c>
      <c r="AL30" s="139">
        <f>Персонал!$E$59+(Персонал!$E$68*Расчёты!AL7)</f>
        <v>1685000</v>
      </c>
      <c r="AM30" s="55">
        <f>Персонал!$E$59+(Персонал!$E$68*Расчёты!AM7)</f>
        <v>1955000</v>
      </c>
      <c r="AN30" s="55">
        <f>Персонал!$E$59+(Персонал!$E$68*Расчёты!AN7)</f>
        <v>1955000</v>
      </c>
      <c r="AO30" s="55">
        <f>Персонал!$E$59+(Персонал!$E$68*Расчёты!AO7)</f>
        <v>1955000</v>
      </c>
      <c r="AP30" s="55">
        <f>Персонал!$E$59+(Персонал!$E$68*Расчёты!AP7)</f>
        <v>1955000</v>
      </c>
      <c r="AQ30" s="55">
        <f>Персонал!$E$59+(Персонал!$E$68*Расчёты!AQ7)</f>
        <v>1955000</v>
      </c>
      <c r="AR30" s="55">
        <f>Персонал!$E$59+(Персонал!$E$68*Расчёты!AR7)</f>
        <v>1955000</v>
      </c>
      <c r="AS30" s="55">
        <f>Персонал!$E$59+(Персонал!$E$68*Расчёты!AS7)</f>
        <v>1955000</v>
      </c>
      <c r="AT30" s="55">
        <f>Персонал!$E$59+(Персонал!$E$68*Расчёты!AT7)</f>
        <v>1955000</v>
      </c>
      <c r="AU30" s="55">
        <f>Персонал!$E$59+(Персонал!$E$68*Расчёты!AU7)</f>
        <v>1955000</v>
      </c>
      <c r="AV30" s="55">
        <f>Персонал!$E$59+(Персонал!$E$68*Расчёты!AV7)</f>
        <v>1955000</v>
      </c>
      <c r="AW30" s="286">
        <f>Персонал!$E$59+(Персонал!$E$68*Расчёты!AW7)</f>
        <v>1955000</v>
      </c>
      <c r="AX30" s="348">
        <f t="shared" si="39"/>
        <v>23190000</v>
      </c>
      <c r="AY30" s="139">
        <f>Персонал!$E$59+(Персонал!$E$68*Расчёты!AY7)</f>
        <v>1955000</v>
      </c>
      <c r="AZ30" s="55">
        <f>Персонал!$E$59+(Персонал!$E$68*Расчёты!AZ7)</f>
        <v>2225000</v>
      </c>
      <c r="BA30" s="55">
        <f>Персонал!$E$59+(Персонал!$E$68*Расчёты!BA7)</f>
        <v>2225000</v>
      </c>
      <c r="BB30" s="55">
        <f>Персонал!$E$59+(Персонал!$E$68*Расчёты!BB7)</f>
        <v>1955000</v>
      </c>
      <c r="BC30" s="55">
        <f>Персонал!$E$59+(Персонал!$E$68*Расчёты!BC7)</f>
        <v>2225000</v>
      </c>
      <c r="BD30" s="55">
        <f>Персонал!$E$59+(Персонал!$E$68*Расчёты!BD7)</f>
        <v>2225000</v>
      </c>
      <c r="BE30" s="55">
        <f>Персонал!$E$59+(Персонал!$E$68*Расчёты!BE7)</f>
        <v>2225000</v>
      </c>
      <c r="BF30" s="55">
        <f>Персонал!$E$59+(Персонал!$E$68*Расчёты!BF7)</f>
        <v>2225000</v>
      </c>
      <c r="BG30" s="55">
        <f>Персонал!$E$59+(Персонал!$E$68*Расчёты!BG7)</f>
        <v>2225000</v>
      </c>
      <c r="BH30" s="55">
        <f>Персонал!$E$59+(Персонал!$E$68*Расчёты!BH7)</f>
        <v>2225000</v>
      </c>
      <c r="BI30" s="55">
        <f>Персонал!$E$59+(Персонал!$E$68*Расчёты!BI7)</f>
        <v>2225000</v>
      </c>
      <c r="BJ30" s="286">
        <f>Персонал!$E$59+(Персонал!$E$68*Расчёты!BJ7)</f>
        <v>2225000</v>
      </c>
      <c r="BK30" s="348">
        <f>SUM(AY30:BJ30)</f>
        <v>26160000</v>
      </c>
    </row>
    <row r="31" spans="1:63" s="194" customFormat="1" ht="13.2">
      <c r="A31" s="179" t="s">
        <v>72</v>
      </c>
      <c r="B31" s="221">
        <v>0.3</v>
      </c>
      <c r="C31" s="290">
        <f t="shared" si="35"/>
        <v>20148000</v>
      </c>
      <c r="D31" s="313">
        <f t="shared" ref="D31:J31" si="71">D30*$B$31</f>
        <v>348000</v>
      </c>
      <c r="E31" s="299">
        <f t="shared" si="71"/>
        <v>348000</v>
      </c>
      <c r="F31" s="55">
        <f t="shared" si="71"/>
        <v>348000</v>
      </c>
      <c r="G31" s="55">
        <f t="shared" si="71"/>
        <v>348000</v>
      </c>
      <c r="H31" s="55">
        <f t="shared" si="71"/>
        <v>348000</v>
      </c>
      <c r="I31" s="55">
        <f t="shared" si="71"/>
        <v>348000</v>
      </c>
      <c r="J31" s="64">
        <f t="shared" si="71"/>
        <v>348000</v>
      </c>
      <c r="K31" s="154">
        <f t="shared" si="36"/>
        <v>2436000</v>
      </c>
      <c r="L31" s="139">
        <f t="shared" ref="L31:W31" si="72">L30*$B$31</f>
        <v>343500</v>
      </c>
      <c r="M31" s="55">
        <f t="shared" si="72"/>
        <v>384000</v>
      </c>
      <c r="N31" s="55">
        <f t="shared" si="72"/>
        <v>384000</v>
      </c>
      <c r="O31" s="55">
        <f t="shared" si="72"/>
        <v>384000</v>
      </c>
      <c r="P31" s="55">
        <f t="shared" si="72"/>
        <v>384000</v>
      </c>
      <c r="Q31" s="55">
        <f t="shared" si="72"/>
        <v>384000</v>
      </c>
      <c r="R31" s="55">
        <f t="shared" si="72"/>
        <v>384000</v>
      </c>
      <c r="S31" s="55">
        <f t="shared" si="72"/>
        <v>424500</v>
      </c>
      <c r="T31" s="55">
        <f t="shared" si="72"/>
        <v>424500</v>
      </c>
      <c r="U31" s="55">
        <f t="shared" si="72"/>
        <v>424500</v>
      </c>
      <c r="V31" s="55">
        <f t="shared" si="72"/>
        <v>424500</v>
      </c>
      <c r="W31" s="64">
        <f t="shared" si="72"/>
        <v>424500</v>
      </c>
      <c r="X31" s="154">
        <f t="shared" si="37"/>
        <v>4770000</v>
      </c>
      <c r="Y31" s="139">
        <f t="shared" ref="Y31:AJ31" si="73">Y30*$B$31</f>
        <v>424500</v>
      </c>
      <c r="Z31" s="55">
        <f t="shared" si="73"/>
        <v>505500</v>
      </c>
      <c r="AA31" s="55">
        <f t="shared" si="73"/>
        <v>505500</v>
      </c>
      <c r="AB31" s="55">
        <f t="shared" si="73"/>
        <v>505500</v>
      </c>
      <c r="AC31" s="55">
        <f t="shared" si="73"/>
        <v>505500</v>
      </c>
      <c r="AD31" s="55">
        <f t="shared" si="73"/>
        <v>505500</v>
      </c>
      <c r="AE31" s="55">
        <f t="shared" si="73"/>
        <v>505500</v>
      </c>
      <c r="AF31" s="55">
        <f t="shared" si="73"/>
        <v>505500</v>
      </c>
      <c r="AG31" s="55">
        <f t="shared" si="73"/>
        <v>505500</v>
      </c>
      <c r="AH31" s="55">
        <f t="shared" si="73"/>
        <v>505500</v>
      </c>
      <c r="AI31" s="55">
        <f t="shared" si="73"/>
        <v>505500</v>
      </c>
      <c r="AJ31" s="336">
        <f t="shared" si="73"/>
        <v>505500</v>
      </c>
      <c r="AK31" s="154">
        <f t="shared" si="38"/>
        <v>5985000</v>
      </c>
      <c r="AL31" s="139">
        <f t="shared" ref="AL31:AW31" si="74">AL30*$B$31</f>
        <v>505500</v>
      </c>
      <c r="AM31" s="55">
        <f t="shared" si="74"/>
        <v>586500</v>
      </c>
      <c r="AN31" s="55">
        <f t="shared" si="74"/>
        <v>586500</v>
      </c>
      <c r="AO31" s="55">
        <f t="shared" si="74"/>
        <v>586500</v>
      </c>
      <c r="AP31" s="55">
        <f t="shared" si="74"/>
        <v>586500</v>
      </c>
      <c r="AQ31" s="55">
        <f t="shared" si="74"/>
        <v>586500</v>
      </c>
      <c r="AR31" s="55">
        <f t="shared" si="74"/>
        <v>586500</v>
      </c>
      <c r="AS31" s="55">
        <f t="shared" si="74"/>
        <v>586500</v>
      </c>
      <c r="AT31" s="55">
        <f t="shared" si="74"/>
        <v>586500</v>
      </c>
      <c r="AU31" s="55">
        <f t="shared" si="74"/>
        <v>586500</v>
      </c>
      <c r="AV31" s="55">
        <f t="shared" si="74"/>
        <v>586500</v>
      </c>
      <c r="AW31" s="336">
        <f t="shared" si="74"/>
        <v>586500</v>
      </c>
      <c r="AX31" s="245">
        <f t="shared" si="39"/>
        <v>6957000</v>
      </c>
      <c r="AY31" s="139">
        <f t="shared" ref="AY31:BJ31" si="75">AY30*$B$31</f>
        <v>586500</v>
      </c>
      <c r="AZ31" s="55">
        <f t="shared" si="75"/>
        <v>667500</v>
      </c>
      <c r="BA31" s="55">
        <f t="shared" si="75"/>
        <v>667500</v>
      </c>
      <c r="BB31" s="55">
        <f t="shared" si="75"/>
        <v>586500</v>
      </c>
      <c r="BC31" s="55">
        <f t="shared" si="75"/>
        <v>667500</v>
      </c>
      <c r="BD31" s="55">
        <f t="shared" si="75"/>
        <v>667500</v>
      </c>
      <c r="BE31" s="55">
        <f t="shared" si="75"/>
        <v>667500</v>
      </c>
      <c r="BF31" s="55">
        <f t="shared" si="75"/>
        <v>667500</v>
      </c>
      <c r="BG31" s="55">
        <f t="shared" si="75"/>
        <v>667500</v>
      </c>
      <c r="BH31" s="55">
        <f t="shared" si="75"/>
        <v>667500</v>
      </c>
      <c r="BI31" s="55">
        <f t="shared" si="75"/>
        <v>667500</v>
      </c>
      <c r="BJ31" s="336">
        <f t="shared" si="75"/>
        <v>667500</v>
      </c>
      <c r="BK31" s="245">
        <f t="shared" si="40"/>
        <v>7848000</v>
      </c>
    </row>
    <row r="32" spans="1:63" s="194" customFormat="1" ht="13.2">
      <c r="A32" s="179" t="s">
        <v>73</v>
      </c>
      <c r="B32" s="169" t="s">
        <v>16</v>
      </c>
      <c r="C32" s="291">
        <f t="shared" si="35"/>
        <v>8702696.541212121</v>
      </c>
      <c r="D32" s="319">
        <f t="shared" ref="D32:J32" si="76">SUM(D25:D30)*0.05</f>
        <v>168986.79212121211</v>
      </c>
      <c r="E32" s="305">
        <f t="shared" si="76"/>
        <v>184986.79212121211</v>
      </c>
      <c r="F32" s="55">
        <f t="shared" si="76"/>
        <v>120061.79212121214</v>
      </c>
      <c r="G32" s="55">
        <f t="shared" si="76"/>
        <v>147061.79212121214</v>
      </c>
      <c r="H32" s="55">
        <f t="shared" si="76"/>
        <v>160561.79212121214</v>
      </c>
      <c r="I32" s="55">
        <f t="shared" si="76"/>
        <v>174061.79212121211</v>
      </c>
      <c r="J32" s="64">
        <f t="shared" si="76"/>
        <v>174061.79212121211</v>
      </c>
      <c r="K32" s="154">
        <f t="shared" si="36"/>
        <v>1129782.5448484849</v>
      </c>
      <c r="L32" s="139">
        <f t="shared" ref="L32:W32" si="77">SUM(L25:L30)*0.05</f>
        <v>172931.79212121211</v>
      </c>
      <c r="M32" s="55">
        <f t="shared" si="77"/>
        <v>180931.79212121211</v>
      </c>
      <c r="N32" s="55">
        <f t="shared" si="77"/>
        <v>194813.42060606062</v>
      </c>
      <c r="O32" s="55">
        <f t="shared" si="77"/>
        <v>194813.42060606062</v>
      </c>
      <c r="P32" s="55">
        <f t="shared" si="77"/>
        <v>194813.42060606062</v>
      </c>
      <c r="Q32" s="55">
        <f t="shared" si="77"/>
        <v>194813.42060606062</v>
      </c>
      <c r="R32" s="55">
        <f t="shared" si="77"/>
        <v>194813.42060606062</v>
      </c>
      <c r="S32" s="55">
        <f t="shared" si="77"/>
        <v>202813.42060606062</v>
      </c>
      <c r="T32" s="55">
        <f t="shared" si="77"/>
        <v>181153.09333333335</v>
      </c>
      <c r="U32" s="55">
        <f t="shared" si="77"/>
        <v>188153.09333333335</v>
      </c>
      <c r="V32" s="55">
        <f t="shared" si="77"/>
        <v>188153.09333333335</v>
      </c>
      <c r="W32" s="404">
        <f t="shared" si="77"/>
        <v>188153.09333333335</v>
      </c>
      <c r="X32" s="346">
        <f t="shared" si="37"/>
        <v>2276356.4812121214</v>
      </c>
      <c r="Y32" s="139">
        <f t="shared" ref="Y32:AJ32" si="78">SUM(Y25:Y30)*0.05</f>
        <v>188153.09333333335</v>
      </c>
      <c r="Z32" s="55">
        <f t="shared" si="78"/>
        <v>204153.09333333335</v>
      </c>
      <c r="AA32" s="55">
        <f t="shared" si="78"/>
        <v>196374.39454545453</v>
      </c>
      <c r="AB32" s="55">
        <f t="shared" si="78"/>
        <v>203374.39454545453</v>
      </c>
      <c r="AC32" s="55">
        <f t="shared" si="78"/>
        <v>203374.39454545453</v>
      </c>
      <c r="AD32" s="55">
        <f t="shared" si="78"/>
        <v>203374.39454545453</v>
      </c>
      <c r="AE32" s="55">
        <f t="shared" si="78"/>
        <v>203374.39454545453</v>
      </c>
      <c r="AF32" s="55">
        <f t="shared" si="78"/>
        <v>203374.39454545453</v>
      </c>
      <c r="AG32" s="55">
        <f t="shared" si="78"/>
        <v>203374.39454545453</v>
      </c>
      <c r="AH32" s="55">
        <f t="shared" si="78"/>
        <v>203374.39454545453</v>
      </c>
      <c r="AI32" s="55">
        <f t="shared" si="78"/>
        <v>203374.39454545453</v>
      </c>
      <c r="AJ32" s="286">
        <f t="shared" si="78"/>
        <v>203374.39454545453</v>
      </c>
      <c r="AK32" s="346">
        <f t="shared" si="38"/>
        <v>2419050.1321212118</v>
      </c>
      <c r="AL32" s="139">
        <f t="shared" ref="AL32:AW32" si="79">SUM(AL25:AL30)*0.05</f>
        <v>203374.39454545453</v>
      </c>
      <c r="AM32" s="55">
        <f t="shared" si="79"/>
        <v>219374.39454545453</v>
      </c>
      <c r="AN32" s="55">
        <f t="shared" si="79"/>
        <v>239175.85939393938</v>
      </c>
      <c r="AO32" s="55">
        <f t="shared" si="79"/>
        <v>246175.85939393938</v>
      </c>
      <c r="AP32" s="55">
        <f t="shared" si="79"/>
        <v>246175.85939393938</v>
      </c>
      <c r="AQ32" s="55">
        <f t="shared" si="79"/>
        <v>246175.85939393938</v>
      </c>
      <c r="AR32" s="55">
        <f t="shared" si="79"/>
        <v>246175.85939393938</v>
      </c>
      <c r="AS32" s="55">
        <f t="shared" si="79"/>
        <v>246175.85939393938</v>
      </c>
      <c r="AT32" s="55">
        <f t="shared" si="79"/>
        <v>246175.85939393938</v>
      </c>
      <c r="AU32" s="55">
        <f t="shared" si="79"/>
        <v>246175.85939393938</v>
      </c>
      <c r="AV32" s="55">
        <f t="shared" si="79"/>
        <v>246175.85939393938</v>
      </c>
      <c r="AW32" s="286">
        <f t="shared" si="79"/>
        <v>246175.85939393938</v>
      </c>
      <c r="AX32" s="348">
        <f t="shared" si="39"/>
        <v>2877507.3830303028</v>
      </c>
      <c r="AY32" s="139">
        <f t="shared" ref="AY32:BJ32" si="80">SUM(AY25:AY30)*0.05</f>
        <v>246175.85939393938</v>
      </c>
      <c r="AZ32" s="55">
        <f t="shared" si="80"/>
        <v>262175.85939393938</v>
      </c>
      <c r="BA32" s="55">
        <f t="shared" si="80"/>
        <v>283175.85939393938</v>
      </c>
      <c r="BB32" s="55">
        <f t="shared" si="80"/>
        <v>267175.85939393938</v>
      </c>
      <c r="BC32" s="55">
        <f t="shared" si="80"/>
        <v>283175.85939393938</v>
      </c>
      <c r="BD32" s="55">
        <f t="shared" si="80"/>
        <v>283175.85939393938</v>
      </c>
      <c r="BE32" s="55">
        <f t="shared" si="80"/>
        <v>283175.85939393938</v>
      </c>
      <c r="BF32" s="55">
        <f t="shared" si="80"/>
        <v>283175.85939393938</v>
      </c>
      <c r="BG32" s="55">
        <f t="shared" si="80"/>
        <v>283175.85939393938</v>
      </c>
      <c r="BH32" s="55">
        <f t="shared" si="80"/>
        <v>283175.85939393938</v>
      </c>
      <c r="BI32" s="55">
        <f t="shared" si="80"/>
        <v>283175.85939393938</v>
      </c>
      <c r="BJ32" s="286">
        <f t="shared" si="80"/>
        <v>283175.85939393938</v>
      </c>
      <c r="BK32" s="348">
        <f t="shared" si="40"/>
        <v>3324110.3127272725</v>
      </c>
    </row>
    <row r="33" spans="1:63" s="194" customFormat="1" ht="13.2">
      <c r="A33" s="153" t="s">
        <v>74</v>
      </c>
      <c r="B33" s="169"/>
      <c r="C33" s="286"/>
      <c r="D33" s="313"/>
      <c r="E33" s="299"/>
      <c r="F33" s="55"/>
      <c r="G33" s="55"/>
      <c r="H33" s="55"/>
      <c r="I33" s="55"/>
      <c r="J33" s="64"/>
      <c r="K33" s="154"/>
      <c r="L33" s="139"/>
      <c r="M33" s="55"/>
      <c r="N33" s="55"/>
      <c r="O33" s="97"/>
      <c r="P33" s="97"/>
      <c r="Q33" s="97"/>
      <c r="R33" s="97"/>
      <c r="S33" s="97"/>
      <c r="T33" s="55"/>
      <c r="U33" s="55"/>
      <c r="V33" s="55"/>
      <c r="W33" s="64"/>
      <c r="X33" s="154"/>
      <c r="Y33" s="191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342"/>
      <c r="AK33" s="84"/>
      <c r="AL33" s="191"/>
      <c r="AM33" s="97"/>
      <c r="AN33" s="97"/>
      <c r="AO33" s="97"/>
      <c r="AP33" s="97"/>
      <c r="AQ33" s="367"/>
      <c r="AR33" s="367"/>
      <c r="AS33" s="367"/>
      <c r="AT33" s="367"/>
      <c r="AU33" s="367"/>
      <c r="AV33" s="367"/>
      <c r="AW33" s="342"/>
      <c r="AX33" s="220"/>
      <c r="AY33" s="191"/>
      <c r="AZ33" s="97"/>
      <c r="BA33" s="97"/>
      <c r="BB33" s="97"/>
      <c r="BC33" s="97"/>
      <c r="BD33" s="367"/>
      <c r="BE33" s="367"/>
      <c r="BF33" s="367"/>
      <c r="BG33" s="367"/>
      <c r="BH33" s="367"/>
      <c r="BI33" s="367"/>
      <c r="BJ33" s="342"/>
      <c r="BK33" s="220"/>
    </row>
    <row r="34" spans="1:63" ht="12" customHeight="1">
      <c r="A34" s="179" t="s">
        <v>75</v>
      </c>
      <c r="B34" s="169" t="s">
        <v>16</v>
      </c>
      <c r="C34" s="290">
        <f>((K34+X34)+AK34)+AX34</f>
        <v>21940180.508474577</v>
      </c>
      <c r="D34" s="313">
        <v>0</v>
      </c>
      <c r="E34" s="299">
        <f t="shared" ref="E34:J34" si="81">(E17+E21)*0.022</f>
        <v>93966.10169491524</v>
      </c>
      <c r="F34" s="55">
        <f t="shared" si="81"/>
        <v>92455.932203389821</v>
      </c>
      <c r="G34" s="55">
        <f t="shared" si="81"/>
        <v>90419.067796610165</v>
      </c>
      <c r="H34" s="55">
        <f t="shared" si="81"/>
        <v>88382.203389830494</v>
      </c>
      <c r="I34" s="55">
        <f t="shared" si="81"/>
        <v>86345.338983050839</v>
      </c>
      <c r="J34" s="64">
        <f t="shared" si="81"/>
        <v>84308.474576271183</v>
      </c>
      <c r="K34" s="154">
        <f>SUM(D34:J34)</f>
        <v>535877.11864406767</v>
      </c>
      <c r="L34" s="139">
        <f t="shared" ref="L34:W34" si="82">(L17+L21)*0.022</f>
        <v>82271.610169491512</v>
      </c>
      <c r="M34" s="55">
        <f t="shared" si="82"/>
        <v>80234.745762711842</v>
      </c>
      <c r="N34" s="55">
        <f t="shared" si="82"/>
        <v>89384.322033898294</v>
      </c>
      <c r="O34" s="55">
        <f t="shared" si="82"/>
        <v>240449.43502824855</v>
      </c>
      <c r="P34" s="55">
        <f t="shared" si="82"/>
        <v>236395.90395480226</v>
      </c>
      <c r="Q34" s="55">
        <f t="shared" si="82"/>
        <v>232342.37288135593</v>
      </c>
      <c r="R34" s="55">
        <f t="shared" si="82"/>
        <v>228288.84180790957</v>
      </c>
      <c r="S34" s="55">
        <f t="shared" si="82"/>
        <v>224235.31073446327</v>
      </c>
      <c r="T34" s="55">
        <f t="shared" si="82"/>
        <v>220181.77966101698</v>
      </c>
      <c r="U34" s="55">
        <f t="shared" si="82"/>
        <v>459520.33898305084</v>
      </c>
      <c r="V34" s="55">
        <f t="shared" si="82"/>
        <v>452384.32203389826</v>
      </c>
      <c r="W34" s="64">
        <f t="shared" si="82"/>
        <v>445248.30508474569</v>
      </c>
      <c r="X34" s="154">
        <f>SUM(L34:W34)</f>
        <v>2990937.2881355933</v>
      </c>
      <c r="Y34" s="139">
        <f t="shared" ref="Y34:AJ34" si="83">(Y17+Y21)*0.022</f>
        <v>438112.28813559323</v>
      </c>
      <c r="Z34" s="55">
        <f t="shared" si="83"/>
        <v>430976.27118644066</v>
      </c>
      <c r="AA34" s="55">
        <f t="shared" si="83"/>
        <v>423840.25423728814</v>
      </c>
      <c r="AB34" s="55">
        <f t="shared" si="83"/>
        <v>813198.30508474563</v>
      </c>
      <c r="AC34" s="55">
        <f t="shared" si="83"/>
        <v>800963.13559322048</v>
      </c>
      <c r="AD34" s="55">
        <f t="shared" si="83"/>
        <v>788727.96610169485</v>
      </c>
      <c r="AE34" s="55">
        <f t="shared" si="83"/>
        <v>776492.79661016958</v>
      </c>
      <c r="AF34" s="55">
        <f t="shared" si="83"/>
        <v>764257.62711864396</v>
      </c>
      <c r="AG34" s="55">
        <f t="shared" si="83"/>
        <v>752022.45762711868</v>
      </c>
      <c r="AH34" s="55">
        <f t="shared" si="83"/>
        <v>739787.28813559317</v>
      </c>
      <c r="AI34" s="55">
        <f t="shared" si="83"/>
        <v>727552.11864406778</v>
      </c>
      <c r="AJ34" s="336">
        <f t="shared" si="83"/>
        <v>715316.94915254239</v>
      </c>
      <c r="AK34" s="154">
        <f>SUM(Y34:AJ34)</f>
        <v>8171247.4576271186</v>
      </c>
      <c r="AL34" s="139">
        <f t="shared" ref="AL34:AW34" si="84">(AL17+AL21)*0.022</f>
        <v>703081.77966101689</v>
      </c>
      <c r="AM34" s="55">
        <f t="shared" si="84"/>
        <v>690846.6101694915</v>
      </c>
      <c r="AN34" s="55">
        <f t="shared" si="84"/>
        <v>678611.44067796611</v>
      </c>
      <c r="AO34" s="55">
        <f t="shared" si="84"/>
        <v>961524.2937853107</v>
      </c>
      <c r="AP34" s="55">
        <f t="shared" si="84"/>
        <v>945386.29943502822</v>
      </c>
      <c r="AQ34" s="55">
        <f t="shared" si="84"/>
        <v>929248.30508474563</v>
      </c>
      <c r="AR34" s="55">
        <f t="shared" si="84"/>
        <v>913110.31073446327</v>
      </c>
      <c r="AS34" s="55">
        <f t="shared" si="84"/>
        <v>896972.31638418091</v>
      </c>
      <c r="AT34" s="55">
        <f t="shared" si="84"/>
        <v>880834.32203389844</v>
      </c>
      <c r="AU34" s="55">
        <f t="shared" si="84"/>
        <v>864696.32768361585</v>
      </c>
      <c r="AV34" s="55">
        <f t="shared" si="84"/>
        <v>848558.33333333349</v>
      </c>
      <c r="AW34" s="336">
        <f t="shared" si="84"/>
        <v>929248.30508474563</v>
      </c>
      <c r="AX34" s="245">
        <f>SUM(AL34:AW34)</f>
        <v>10242118.644067798</v>
      </c>
      <c r="AY34" s="139">
        <f t="shared" ref="AY34:BJ34" si="85">(AY17+AY21)*0.022</f>
        <v>913110.31073446327</v>
      </c>
      <c r="AZ34" s="55">
        <f t="shared" si="85"/>
        <v>895592.65536723181</v>
      </c>
      <c r="BA34" s="55">
        <f t="shared" si="85"/>
        <v>878075.00000000012</v>
      </c>
      <c r="BB34" s="55">
        <f t="shared" si="85"/>
        <v>858034.18079096044</v>
      </c>
      <c r="BC34" s="55">
        <f t="shared" si="85"/>
        <v>837993.361581921</v>
      </c>
      <c r="BD34" s="55">
        <f t="shared" si="85"/>
        <v>817952.54237288155</v>
      </c>
      <c r="BE34" s="55">
        <f t="shared" si="85"/>
        <v>797911.72316384187</v>
      </c>
      <c r="BF34" s="55">
        <f t="shared" si="85"/>
        <v>777870.9039548022</v>
      </c>
      <c r="BG34" s="55">
        <f t="shared" si="85"/>
        <v>756450.42372881365</v>
      </c>
      <c r="BH34" s="55">
        <f t="shared" si="85"/>
        <v>735029.94350282487</v>
      </c>
      <c r="BI34" s="55">
        <f t="shared" si="85"/>
        <v>713609.46327683621</v>
      </c>
      <c r="BJ34" s="336">
        <f t="shared" si="85"/>
        <v>817952.54237288155</v>
      </c>
      <c r="BK34" s="245">
        <f>SUM(AY34:BJ34)</f>
        <v>9799583.0508474596</v>
      </c>
    </row>
    <row r="35" spans="1:63" ht="12" customHeight="1">
      <c r="A35" s="349" t="s">
        <v>116</v>
      </c>
      <c r="B35" s="350" t="s">
        <v>16</v>
      </c>
      <c r="C35" s="351">
        <f>((K35+X35)+AK35)+AX35</f>
        <v>17760000</v>
      </c>
      <c r="D35" s="352">
        <f>Оборудование!E14*D8</f>
        <v>4440000</v>
      </c>
      <c r="E35" s="353"/>
      <c r="F35" s="354"/>
      <c r="G35" s="354"/>
      <c r="H35" s="354"/>
      <c r="I35" s="354"/>
      <c r="J35" s="355"/>
      <c r="K35" s="356">
        <f>SUM(D35:J35)</f>
        <v>4440000</v>
      </c>
      <c r="L35" s="357">
        <f>Оборудование!E14*Расчёты!L8/2</f>
        <v>1110000</v>
      </c>
      <c r="M35" s="354">
        <f>Оборудование!E14*Расчёты!L8/2</f>
        <v>1110000</v>
      </c>
      <c r="N35" s="354"/>
      <c r="O35" s="354"/>
      <c r="P35" s="354"/>
      <c r="Q35" s="354"/>
      <c r="R35" s="354">
        <f>Оборудование!E14*Расчёты!R8/2</f>
        <v>1110000</v>
      </c>
      <c r="S35" s="354">
        <f>Оборудование!E14*Расчёты!R8/2</f>
        <v>1110000</v>
      </c>
      <c r="T35" s="354"/>
      <c r="U35" s="354"/>
      <c r="V35" s="354"/>
      <c r="W35" s="355"/>
      <c r="X35" s="356">
        <f>SUM(L35:W35)</f>
        <v>4440000</v>
      </c>
      <c r="Y35" s="357">
        <f>Оборудование!E14*Расчёты!Y8/2</f>
        <v>2220000</v>
      </c>
      <c r="Z35" s="354">
        <f>Оборудование!E14*Расчёты!Y8/2</f>
        <v>2220000</v>
      </c>
      <c r="AA35" s="354"/>
      <c r="AB35" s="354"/>
      <c r="AC35" s="354"/>
      <c r="AD35" s="354"/>
      <c r="AE35" s="354"/>
      <c r="AF35" s="354"/>
      <c r="AG35" s="354"/>
      <c r="AH35" s="354"/>
      <c r="AI35" s="354"/>
      <c r="AJ35" s="358"/>
      <c r="AK35" s="356">
        <f>SUM(Y35:AJ35)</f>
        <v>4440000</v>
      </c>
      <c r="AL35" s="357">
        <f>Оборудование!E14*Расчёты!AL8/2</f>
        <v>2220000</v>
      </c>
      <c r="AM35" s="354">
        <f>Оборудование!E14*Расчёты!AL8/2</f>
        <v>2220000</v>
      </c>
      <c r="AN35" s="354"/>
      <c r="AO35" s="354"/>
      <c r="AP35" s="354"/>
      <c r="AQ35" s="358"/>
      <c r="AR35" s="358"/>
      <c r="AS35" s="358"/>
      <c r="AT35" s="358"/>
      <c r="AU35" s="358"/>
      <c r="AV35" s="358"/>
      <c r="AW35" s="358"/>
      <c r="AX35" s="359">
        <f>SUM(AL35:AW35)</f>
        <v>4440000</v>
      </c>
      <c r="AY35" s="357">
        <f>Оборудование!E14*Расчёты!AY8/2</f>
        <v>2220000</v>
      </c>
      <c r="AZ35" s="354">
        <f>Оборудование!E14*Расчёты!AY8/2</f>
        <v>2220000</v>
      </c>
      <c r="BA35" s="354"/>
      <c r="BB35" s="354"/>
      <c r="BC35" s="354"/>
      <c r="BD35" s="358"/>
      <c r="BE35" s="358"/>
      <c r="BF35" s="358"/>
      <c r="BG35" s="358"/>
      <c r="BH35" s="358"/>
      <c r="BI35" s="358"/>
      <c r="BJ35" s="358"/>
      <c r="BK35" s="359">
        <f>SUM(AY35:BJ35)</f>
        <v>4440000</v>
      </c>
    </row>
    <row r="36" spans="1:63" ht="12" customHeight="1">
      <c r="A36" s="179" t="s">
        <v>76</v>
      </c>
      <c r="B36" s="169" t="s">
        <v>16</v>
      </c>
      <c r="C36" s="290">
        <f>((K36+X36)+AK36)+AX36</f>
        <v>2400000</v>
      </c>
      <c r="D36" s="313">
        <f>Транспорт!E3*Расчёты!D9</f>
        <v>600000</v>
      </c>
      <c r="E36" s="299">
        <v>0</v>
      </c>
      <c r="F36" s="55">
        <v>0</v>
      </c>
      <c r="G36" s="55">
        <v>0</v>
      </c>
      <c r="H36" s="55">
        <v>0</v>
      </c>
      <c r="I36" s="55">
        <v>0</v>
      </c>
      <c r="J36" s="64">
        <v>0</v>
      </c>
      <c r="K36" s="154">
        <f>SUM(D36:J36)</f>
        <v>600000</v>
      </c>
      <c r="L36" s="139"/>
      <c r="M36" s="55">
        <v>600000</v>
      </c>
      <c r="N36" s="55"/>
      <c r="O36" s="55"/>
      <c r="P36" s="55"/>
      <c r="Q36" s="55"/>
      <c r="R36" s="55"/>
      <c r="S36" s="55"/>
      <c r="T36" s="55"/>
      <c r="U36" s="55"/>
      <c r="V36" s="55"/>
      <c r="W36" s="64"/>
      <c r="X36" s="154">
        <f>SUM(L36:W36)</f>
        <v>600000</v>
      </c>
      <c r="Y36" s="139"/>
      <c r="Z36" s="55">
        <v>600000</v>
      </c>
      <c r="AA36" s="55"/>
      <c r="AB36" s="55"/>
      <c r="AC36" s="55"/>
      <c r="AD36" s="55"/>
      <c r="AE36" s="55"/>
      <c r="AF36" s="55"/>
      <c r="AG36" s="55"/>
      <c r="AH36" s="55"/>
      <c r="AI36" s="55"/>
      <c r="AJ36" s="336"/>
      <c r="AK36" s="154">
        <f>SUM(Y36:AJ36)</f>
        <v>600000</v>
      </c>
      <c r="AL36" s="139"/>
      <c r="AM36" s="55">
        <f>Транспорт!E3*Расчёты!AM9</f>
        <v>600000</v>
      </c>
      <c r="AN36" s="55"/>
      <c r="AO36" s="55"/>
      <c r="AP36" s="55"/>
      <c r="AQ36" s="286"/>
      <c r="AR36" s="286"/>
      <c r="AS36" s="286"/>
      <c r="AT36" s="286"/>
      <c r="AU36" s="286"/>
      <c r="AV36" s="286"/>
      <c r="AW36" s="336"/>
      <c r="AX36" s="245">
        <f>SUM(AL36:AW36)</f>
        <v>600000</v>
      </c>
      <c r="AY36" s="139"/>
      <c r="AZ36" s="55">
        <f>Транспорт!E3*Расчёты!AZ9</f>
        <v>600000</v>
      </c>
      <c r="BA36" s="55"/>
      <c r="BB36" s="55"/>
      <c r="BC36" s="55"/>
      <c r="BD36" s="286"/>
      <c r="BE36" s="286"/>
      <c r="BF36" s="286"/>
      <c r="BG36" s="286"/>
      <c r="BH36" s="286"/>
      <c r="BI36" s="286"/>
      <c r="BJ36" s="336"/>
      <c r="BK36" s="245">
        <f>SUM(AY36:BJ36)</f>
        <v>600000</v>
      </c>
    </row>
    <row r="37" spans="1:63" ht="12" customHeight="1">
      <c r="A37" s="179" t="s">
        <v>77</v>
      </c>
      <c r="B37" s="169" t="s">
        <v>16</v>
      </c>
      <c r="C37" s="290">
        <f>((K37+X37)+AK37)+AX37</f>
        <v>48400000</v>
      </c>
      <c r="D37" s="313">
        <v>0</v>
      </c>
      <c r="E37" s="299">
        <v>0</v>
      </c>
      <c r="F37" s="55">
        <v>0</v>
      </c>
      <c r="G37" s="55">
        <v>0</v>
      </c>
      <c r="H37" s="55">
        <v>0</v>
      </c>
      <c r="I37" s="55">
        <v>0</v>
      </c>
      <c r="J37" s="64">
        <v>0</v>
      </c>
      <c r="K37" s="154">
        <f>SUM(D37:J37)</f>
        <v>0</v>
      </c>
      <c r="L37" s="139">
        <f>Лизинг!C4-Лизинг!C6</f>
        <v>1650000.0000000005</v>
      </c>
      <c r="M37" s="55">
        <v>0</v>
      </c>
      <c r="N37" s="55">
        <f>Лизинг!$C$27*Расчёты!$L$10</f>
        <v>200000</v>
      </c>
      <c r="O37" s="55">
        <f>Лизинг!$C$27*Расчёты!$L$10</f>
        <v>200000</v>
      </c>
      <c r="P37" s="55">
        <f>Лизинг!$C$27*Расчёты!$L$10</f>
        <v>200000</v>
      </c>
      <c r="Q37" s="55">
        <f>Лизинг!$C$27*Расчёты!$L$10</f>
        <v>200000</v>
      </c>
      <c r="R37" s="55">
        <f>(Лизинг!$C$27*Расчёты!$L$10)+((Лизинг!C4-Лизинг!C6)*Расчёты!R10)</f>
        <v>3500000.0000000009</v>
      </c>
      <c r="S37" s="55">
        <f>Лизинг!$C$27*Расчёты!$L$10</f>
        <v>200000</v>
      </c>
      <c r="T37" s="55">
        <f>(Лизинг!$C$27*Расчёты!$L$10)+(Лизинг!$C$27*Расчёты!$R$10)</f>
        <v>600000</v>
      </c>
      <c r="U37" s="55">
        <f>(Лизинг!$C$27*Расчёты!$L$10)+(Лизинг!$C$27*Расчёты!$R$10)</f>
        <v>600000</v>
      </c>
      <c r="V37" s="55">
        <f>(Лизинг!$C$27*Расчёты!$L$10)+(Лизинг!$C$27*Расчёты!$R$10)</f>
        <v>600000</v>
      </c>
      <c r="W37" s="404">
        <f>(Лизинг!$C$27*Расчёты!$L$10)+(Лизинг!$C$27*Расчёты!$R$10)</f>
        <v>600000</v>
      </c>
      <c r="X37" s="346">
        <f>SUM(L37:W37)</f>
        <v>8550000.0000000019</v>
      </c>
      <c r="Y37" s="139">
        <f>W37+((Лизинг!C4-Лизинг!C6)*Расчёты!Y10)</f>
        <v>5550000.0000000019</v>
      </c>
      <c r="Z37" s="55">
        <f>W37</f>
        <v>600000</v>
      </c>
      <c r="AA37" s="55">
        <f>Z37+(Лизинг!C27*Расчёты!Y10)</f>
        <v>1200000</v>
      </c>
      <c r="AB37" s="55">
        <f t="shared" ref="AB37:AJ37" si="86">AA37</f>
        <v>1200000</v>
      </c>
      <c r="AC37" s="55">
        <f t="shared" si="86"/>
        <v>1200000</v>
      </c>
      <c r="AD37" s="55">
        <f t="shared" si="86"/>
        <v>1200000</v>
      </c>
      <c r="AE37" s="55">
        <f t="shared" si="86"/>
        <v>1200000</v>
      </c>
      <c r="AF37" s="55">
        <f t="shared" si="86"/>
        <v>1200000</v>
      </c>
      <c r="AG37" s="55">
        <f t="shared" si="86"/>
        <v>1200000</v>
      </c>
      <c r="AH37" s="55">
        <f t="shared" si="86"/>
        <v>1200000</v>
      </c>
      <c r="AI37" s="55">
        <f t="shared" si="86"/>
        <v>1200000</v>
      </c>
      <c r="AJ37" s="286">
        <f t="shared" si="86"/>
        <v>1200000</v>
      </c>
      <c r="AK37" s="346">
        <f>SUM(Y37:AJ37)</f>
        <v>18150000</v>
      </c>
      <c r="AL37" s="139">
        <f>AJ37+((Лизинг!C4-Лизинг!C6)*Расчёты!AL10)</f>
        <v>4500000.0000000009</v>
      </c>
      <c r="AM37" s="55">
        <f>AJ37</f>
        <v>1200000</v>
      </c>
      <c r="AN37" s="55">
        <f>AM37+(Лизинг!C27*Расчёты!AL10)</f>
        <v>1600000</v>
      </c>
      <c r="AO37" s="55">
        <f>AN37</f>
        <v>1600000</v>
      </c>
      <c r="AP37" s="55">
        <f>AO37</f>
        <v>1600000</v>
      </c>
      <c r="AQ37" s="55">
        <f t="shared" ref="AQ37:AV37" si="87">AP37</f>
        <v>1600000</v>
      </c>
      <c r="AR37" s="55">
        <f t="shared" si="87"/>
        <v>1600000</v>
      </c>
      <c r="AS37" s="55">
        <f t="shared" si="87"/>
        <v>1600000</v>
      </c>
      <c r="AT37" s="55">
        <f t="shared" si="87"/>
        <v>1600000</v>
      </c>
      <c r="AU37" s="55">
        <f t="shared" si="87"/>
        <v>1600000</v>
      </c>
      <c r="AV37" s="55">
        <f t="shared" si="87"/>
        <v>1600000</v>
      </c>
      <c r="AW37" s="286">
        <f>AP37</f>
        <v>1600000</v>
      </c>
      <c r="AX37" s="348">
        <f>SUM(AL37:AW37)</f>
        <v>21700000</v>
      </c>
      <c r="AY37" s="139">
        <f>AW37+((Лизинг!C4-Лизинг!C6)*Расчёты!AY10)</f>
        <v>4900000.0000000009</v>
      </c>
      <c r="AZ37" s="55">
        <f>AW37</f>
        <v>1600000</v>
      </c>
      <c r="BA37" s="55">
        <f>AZ37+(Лизинг!C27*Расчёты!AY10)</f>
        <v>2000000</v>
      </c>
      <c r="BB37" s="55">
        <f>BA37</f>
        <v>2000000</v>
      </c>
      <c r="BC37" s="55">
        <f>BB37</f>
        <v>2000000</v>
      </c>
      <c r="BD37" s="55">
        <f t="shared" ref="BD37" si="88">BC37</f>
        <v>2000000</v>
      </c>
      <c r="BE37" s="55">
        <f t="shared" ref="BE37" si="89">BD37</f>
        <v>2000000</v>
      </c>
      <c r="BF37" s="55">
        <f t="shared" ref="BF37" si="90">BE37</f>
        <v>2000000</v>
      </c>
      <c r="BG37" s="55">
        <f t="shared" ref="BG37" si="91">BF37</f>
        <v>2000000</v>
      </c>
      <c r="BH37" s="55">
        <f t="shared" ref="BH37" si="92">BG37</f>
        <v>2000000</v>
      </c>
      <c r="BI37" s="55">
        <f t="shared" ref="BI37" si="93">BH37</f>
        <v>2000000</v>
      </c>
      <c r="BJ37" s="286">
        <f>BC37</f>
        <v>2000000</v>
      </c>
      <c r="BK37" s="348">
        <f>SUM(AY37:BJ37)</f>
        <v>26500000</v>
      </c>
    </row>
    <row r="38" spans="1:63" s="194" customFormat="1" ht="13.5" customHeight="1">
      <c r="A38" s="246" t="s">
        <v>78</v>
      </c>
      <c r="B38" s="206" t="s">
        <v>16</v>
      </c>
      <c r="C38" s="292">
        <f>((K38+X38)+AK38)+AX38+BK38</f>
        <v>441191857.20956343</v>
      </c>
      <c r="D38" s="397">
        <f>D19+D23+D25+D26+D27+D28+D29+D30+D31+D32+D34+D35+D36+D37</f>
        <v>8936722.6345454548</v>
      </c>
      <c r="E38" s="301">
        <f>E19+E23+E25+E26+E27+E28+E29+E30+E31+E32+E34+E35+E36+E37</f>
        <v>4395332.8040369805</v>
      </c>
      <c r="F38" s="301">
        <f>F19+F23+F25+F26+F27+F28+F29+F30+F31+F32+F34+F35+F36+F37</f>
        <v>3054338.3125115559</v>
      </c>
      <c r="G38" s="301">
        <f t="shared" ref="G38:J38" si="94">G19+G23+G25+G26+G27+G28+G29+G30+G31+G32+G34+G35+G36+G37</f>
        <v>3619301.4481047764</v>
      </c>
      <c r="H38" s="301">
        <f t="shared" si="94"/>
        <v>3900764.5836979966</v>
      </c>
      <c r="I38" s="301">
        <f t="shared" si="94"/>
        <v>4182227.7192912172</v>
      </c>
      <c r="J38" s="301">
        <f t="shared" si="94"/>
        <v>4180190.8548844373</v>
      </c>
      <c r="K38" s="154">
        <f t="shared" ref="K38:K42" si="95">SUM(D38:J38)</f>
        <v>32268878.35707242</v>
      </c>
      <c r="L38" s="301">
        <f t="shared" ref="L38" si="96">L19+L23+L25+L26+L27+L28+L29+L30+L31+L32+L34+L35+L36+L37</f>
        <v>6909923.9904776588</v>
      </c>
      <c r="M38" s="301">
        <f t="shared" ref="M38" si="97">M19+M23+M25+M26+M27+M28+M29+M30+M31+M32+M34+M35+M36+M37</f>
        <v>6066387.1260708775</v>
      </c>
      <c r="N38" s="301">
        <f t="shared" ref="N38" si="98">N19+N23+N25+N26+N27+N28+N29+N30+N31+N32+N34+N35+N36+N37</f>
        <v>4948717.5671905493</v>
      </c>
      <c r="O38" s="301">
        <f t="shared" ref="O38" si="99">O19+O23+O25+O26+O27+O28+O29+O30+O31+O32+O34+O35+O36+O37</f>
        <v>5099782.6801848998</v>
      </c>
      <c r="P38" s="301">
        <f t="shared" ref="P38" si="100">P19+P23+P25+P26+P27+P28+P29+P30+P31+P32+P34+P35+P36+P37</f>
        <v>5095729.1491114534</v>
      </c>
      <c r="Q38" s="301">
        <f t="shared" ref="Q38" si="101">Q19+Q23+Q25+Q26+Q27+Q28+Q29+Q30+Q31+Q32+Q34+Q35+Q36+Q37</f>
        <v>5091675.6180380071</v>
      </c>
      <c r="R38" s="301">
        <f t="shared" ref="R38" si="102">R19+R23+R25+R26+R27+R28+R29+R30+R31+R32+R34+R35+R36+R37</f>
        <v>9497622.0869645625</v>
      </c>
      <c r="S38" s="301">
        <f t="shared" ref="S38" si="103">S19+S23+S25+S26+S27+S28+S29+S30+S31+S32+S34+S35+S36+S37</f>
        <v>6402068.5558911143</v>
      </c>
      <c r="T38" s="301">
        <f t="shared" ref="T38" si="104">T19+T23+T25+T26+T27+T28+T29+T30+T31+T32+T34+T35+T36+T37</f>
        <v>5373261.1464406773</v>
      </c>
      <c r="U38" s="301">
        <f t="shared" ref="U38" si="105">U19+U23+U25+U26+U27+U28+U29+U30+U31+U32+U34+U35+U36+U37</f>
        <v>5759599.7057627114</v>
      </c>
      <c r="V38" s="301">
        <f t="shared" ref="V38" si="106">V19+V23+V25+V26+V27+V28+V29+V30+V31+V32+V34+V35+V36+V37</f>
        <v>5752463.6888135588</v>
      </c>
      <c r="W38" s="301">
        <f t="shared" ref="W38" si="107">W19+W23+W25+W26+W27+W28+W29+W30+W31+W32+W34+W35+W36+W37</f>
        <v>5745327.6718644062</v>
      </c>
      <c r="X38" s="154">
        <f t="shared" ref="X38:X42" si="108">SUM(L38:W38)</f>
        <v>71742558.986810476</v>
      </c>
      <c r="Y38" s="301">
        <f t="shared" ref="Y38" si="109">Y19+Y23+Y25+Y26+Y27+Y28+Y29+Y30+Y31+Y32+Y34+Y35+Y36+Y37</f>
        <v>12908191.654915255</v>
      </c>
      <c r="Z38" s="301">
        <f t="shared" ref="Z38" si="110">Z19+Z23+Z25+Z26+Z27+Z28+Z29+Z30+Z31+Z32+Z34+Z35+Z36+Z37</f>
        <v>8968055.6379661001</v>
      </c>
      <c r="AA38" s="301">
        <f t="shared" ref="AA38" si="111">AA19+AA23+AA25+AA26+AA27+AA28+AA29+AA30+AA31+AA32+AA34+AA35+AA36+AA37</f>
        <v>6809346.6074884441</v>
      </c>
      <c r="AB38" s="301">
        <f t="shared" ref="AB38" si="112">AB19+AB23+AB25+AB26+AB27+AB28+AB29+AB30+AB31+AB32+AB34+AB35+AB36+AB37</f>
        <v>7345704.6583359009</v>
      </c>
      <c r="AC38" s="301">
        <f t="shared" ref="AC38" si="113">AC19+AC23+AC25+AC26+AC27+AC28+AC29+AC30+AC31+AC32+AC34+AC35+AC36+AC37</f>
        <v>7333469.4888443761</v>
      </c>
      <c r="AD38" s="301">
        <f t="shared" ref="AD38" si="114">AD19+AD23+AD25+AD26+AD27+AD28+AD29+AD30+AD31+AD32+AD34+AD35+AD36+AD37</f>
        <v>7321234.3193528503</v>
      </c>
      <c r="AE38" s="301">
        <f t="shared" ref="AE38" si="115">AE19+AE23+AE25+AE26+AE27+AE28+AE29+AE30+AE31+AE32+AE34+AE35+AE36+AE37</f>
        <v>7308999.1498613246</v>
      </c>
      <c r="AF38" s="301">
        <f t="shared" ref="AF38" si="116">AF19+AF23+AF25+AF26+AF27+AF28+AF29+AF30+AF31+AF32+AF34+AF35+AF36+AF37</f>
        <v>7296763.9803697998</v>
      </c>
      <c r="AG38" s="301">
        <f t="shared" ref="AG38" si="117">AG19+AG23+AG25+AG26+AG27+AG28+AG29+AG30+AG31+AG32+AG34+AG35+AG36+AG37</f>
        <v>7284528.810878274</v>
      </c>
      <c r="AH38" s="301">
        <f t="shared" ref="AH38" si="118">AH19+AH23+AH25+AH26+AH27+AH28+AH29+AH30+AH31+AH32+AH34+AH35+AH36+AH37</f>
        <v>7272293.6413867483</v>
      </c>
      <c r="AI38" s="301">
        <f t="shared" ref="AI38" si="119">AI19+AI23+AI25+AI26+AI27+AI28+AI29+AI30+AI31+AI32+AI34+AI35+AI36+AI37</f>
        <v>7260058.4718952235</v>
      </c>
      <c r="AJ38" s="301">
        <f t="shared" ref="AJ38" si="120">AJ19+AJ23+AJ25+AJ26+AJ27+AJ28+AJ29+AJ30+AJ31+AJ32+AJ34+AJ35+AJ36+AJ37</f>
        <v>7247823.3024036977</v>
      </c>
      <c r="AK38" s="154">
        <f t="shared" ref="AK38:AK42" si="121">SUM(Y38:AJ38)</f>
        <v>94356469.72369799</v>
      </c>
      <c r="AL38" s="301">
        <f t="shared" ref="AL38" si="122">AL19+AL23+AL25+AL26+AL27+AL28+AL29+AL30+AL31+AL32+AL34+AL35+AL36+AL37</f>
        <v>12755588.132912174</v>
      </c>
      <c r="AM38" s="301">
        <f t="shared" ref="AM38" si="123">AM19+AM23+AM25+AM26+AM27+AM28+AM29+AM30+AM31+AM32+AM34+AM35+AM36+AM37</f>
        <v>10460352.963420648</v>
      </c>
      <c r="AN38" s="301">
        <f t="shared" ref="AN38" si="124">AN19+AN23+AN25+AN26+AN27+AN28+AN29+AN30+AN31+AN32+AN34+AN35+AN36+AN37</f>
        <v>8621349.6856908053</v>
      </c>
      <c r="AO38" s="301">
        <f t="shared" ref="AO38" si="125">AO19+AO23+AO25+AO26+AO27+AO28+AO29+AO30+AO31+AO32+AO34+AO35+AO36+AO37</f>
        <v>9051262.5387981497</v>
      </c>
      <c r="AP38" s="301">
        <f t="shared" ref="AP38" si="126">AP19+AP23+AP25+AP26+AP27+AP28+AP29+AP30+AP31+AP32+AP34+AP35+AP36+AP37</f>
        <v>9035124.5444478691</v>
      </c>
      <c r="AQ38" s="301">
        <f t="shared" ref="AQ38" si="127">AQ19+AQ23+AQ25+AQ26+AQ27+AQ28+AQ29+AQ30+AQ31+AQ32+AQ34+AQ35+AQ36+AQ37</f>
        <v>9018986.5500975847</v>
      </c>
      <c r="AR38" s="301">
        <f t="shared" ref="AR38" si="128">AR19+AR23+AR25+AR26+AR27+AR28+AR29+AR30+AR31+AR32+AR34+AR35+AR36+AR37</f>
        <v>9002848.5557473041</v>
      </c>
      <c r="AS38" s="301">
        <f t="shared" ref="AS38" si="129">AS19+AS23+AS25+AS26+AS27+AS28+AS29+AS30+AS31+AS32+AS34+AS35+AS36+AS37</f>
        <v>8986710.5613970216</v>
      </c>
      <c r="AT38" s="301">
        <f t="shared" ref="AT38" si="130">AT19+AT23+AT25+AT26+AT27+AT28+AT29+AT30+AT31+AT32+AT34+AT35+AT36+AT37</f>
        <v>8970572.5670467392</v>
      </c>
      <c r="AU38" s="301">
        <f t="shared" ref="AU38" si="131">AU19+AU23+AU25+AU26+AU27+AU28+AU29+AU30+AU31+AU32+AU34+AU35+AU36+AU37</f>
        <v>8954434.5726964548</v>
      </c>
      <c r="AV38" s="301">
        <f t="shared" ref="AV38" si="132">AV19+AV23+AV25+AV26+AV27+AV28+AV29+AV30+AV31+AV32+AV34+AV35+AV36+AV37</f>
        <v>8938296.5783461742</v>
      </c>
      <c r="AW38" s="301">
        <f t="shared" ref="AW38" si="133">AW19+AW23+AW25+AW26+AW27+AW28+AW29+AW30+AW31+AW32+AW34+AW35+AW36+AW37</f>
        <v>9018986.5500975847</v>
      </c>
      <c r="AX38" s="245">
        <f t="shared" ref="AX38:AX42" si="134">SUM(AL38:AW38)</f>
        <v>112814513.8006985</v>
      </c>
      <c r="AY38" s="301">
        <f t="shared" ref="AY38" si="135">AY19+AY23+AY25+AY26+AY27+AY28+AY29+AY30+AY31+AY32+AY34+AY35+AY36+AY37</f>
        <v>14585560.420154084</v>
      </c>
      <c r="AZ38" s="301">
        <f t="shared" ref="AZ38" si="136">AZ19+AZ23+AZ25+AZ26+AZ27+AZ28+AZ29+AZ30+AZ31+AZ32+AZ34+AZ35+AZ36+AZ37</f>
        <v>12285042.764786851</v>
      </c>
      <c r="BA38" s="301">
        <f t="shared" ref="BA38" si="137">BA19+BA23+BA25+BA26+BA27+BA28+BA29+BA30+BA31+BA32+BA34+BA35+BA36+BA37</f>
        <v>10403214.374956343</v>
      </c>
      <c r="BB38" s="301">
        <f t="shared" ref="BB38" si="138">BB19+BB23+BB25+BB26+BB27+BB28+BB29+BB30+BB31+BB32+BB34+BB35+BB36+BB37</f>
        <v>9966173.5557473041</v>
      </c>
      <c r="BC38" s="301">
        <f t="shared" ref="BC38" si="139">BC19+BC23+BC25+BC26+BC27+BC28+BC29+BC30+BC31+BC32+BC34+BC35+BC36+BC37</f>
        <v>10363132.736538263</v>
      </c>
      <c r="BD38" s="301">
        <f t="shared" ref="BD38" si="140">BD19+BD23+BD25+BD26+BD27+BD28+BD29+BD30+BD31+BD32+BD34+BD35+BD36+BD37</f>
        <v>10343091.917329224</v>
      </c>
      <c r="BE38" s="301">
        <f t="shared" ref="BE38" si="141">BE19+BE23+BE25+BE26+BE27+BE28+BE29+BE30+BE31+BE32+BE34+BE35+BE36+BE37</f>
        <v>10323051.098120185</v>
      </c>
      <c r="BF38" s="301">
        <f t="shared" ref="BF38" si="142">BF19+BF23+BF25+BF26+BF27+BF28+BF29+BF30+BF31+BF32+BF34+BF35+BF36+BF37</f>
        <v>10365722.143317925</v>
      </c>
      <c r="BG38" s="301">
        <f t="shared" ref="BG38" si="143">BG19+BG23+BG25+BG26+BG27+BG28+BG29+BG30+BG31+BG32+BG34+BG35+BG36+BG37</f>
        <v>10344301.663091935</v>
      </c>
      <c r="BH38" s="301">
        <f t="shared" ref="BH38" si="144">BH19+BH23+BH25+BH26+BH27+BH28+BH29+BH30+BH31+BH32+BH34+BH35+BH36+BH37</f>
        <v>10322881.182865947</v>
      </c>
      <c r="BI38" s="301">
        <f t="shared" ref="BI38" si="145">BI19+BI23+BI25+BI26+BI27+BI28+BI29+BI30+BI31+BI32+BI34+BI35+BI36+BI37</f>
        <v>10301460.70263996</v>
      </c>
      <c r="BJ38" s="301">
        <f t="shared" ref="BJ38" si="146">BJ19+BJ23+BJ25+BJ26+BJ27+BJ28+BJ29+BJ30+BJ31+BJ32+BJ34+BJ35+BJ36+BJ37</f>
        <v>10405803.781736005</v>
      </c>
      <c r="BK38" s="245">
        <f t="shared" ref="BK38:BK42" si="147">SUM(AY38:BJ38)</f>
        <v>130009436.34128402</v>
      </c>
    </row>
    <row r="39" spans="1:63" ht="12" customHeight="1">
      <c r="A39" s="179" t="s">
        <v>79</v>
      </c>
      <c r="B39" s="169" t="s">
        <v>16</v>
      </c>
      <c r="C39" s="290">
        <f>((K39+X39)+AK39)+AX39+BK39</f>
        <v>230808142.79043657</v>
      </c>
      <c r="D39" s="313">
        <f t="shared" ref="D39:J39" si="148">D14-D38</f>
        <v>-8936722.6345454548</v>
      </c>
      <c r="E39" s="299">
        <f t="shared" si="148"/>
        <v>-3695332.8040369805</v>
      </c>
      <c r="F39" s="55">
        <f t="shared" si="148"/>
        <v>-1654338.3125115559</v>
      </c>
      <c r="G39" s="55">
        <f t="shared" si="148"/>
        <v>-819301.44810477644</v>
      </c>
      <c r="H39" s="55">
        <f t="shared" si="148"/>
        <v>-400764.58369799657</v>
      </c>
      <c r="I39" s="55">
        <f t="shared" si="148"/>
        <v>17772.280708782841</v>
      </c>
      <c r="J39" s="64">
        <f t="shared" si="148"/>
        <v>19809.145115562715</v>
      </c>
      <c r="K39" s="154">
        <f t="shared" si="95"/>
        <v>-15468878.35707242</v>
      </c>
      <c r="L39" s="139">
        <f t="shared" ref="L39:W39" si="149">L14-L38</f>
        <v>-2709923.9904776588</v>
      </c>
      <c r="M39" s="55">
        <f t="shared" si="149"/>
        <v>-1866387.1260708775</v>
      </c>
      <c r="N39" s="55">
        <f t="shared" si="149"/>
        <v>1351282.4328094507</v>
      </c>
      <c r="O39" s="55">
        <f t="shared" si="149"/>
        <v>1200217.3198151002</v>
      </c>
      <c r="P39" s="55">
        <f t="shared" si="149"/>
        <v>1204270.8508885466</v>
      </c>
      <c r="Q39" s="55">
        <f t="shared" si="149"/>
        <v>1208324.3819619929</v>
      </c>
      <c r="R39" s="55">
        <f t="shared" si="149"/>
        <v>-3197622.0869645625</v>
      </c>
      <c r="S39" s="55">
        <f t="shared" si="149"/>
        <v>-102068.55589111429</v>
      </c>
      <c r="T39" s="55">
        <f t="shared" si="149"/>
        <v>1626738.8535593227</v>
      </c>
      <c r="U39" s="55">
        <f t="shared" si="149"/>
        <v>2640400.2942372886</v>
      </c>
      <c r="V39" s="55">
        <f t="shared" si="149"/>
        <v>2647536.3111864412</v>
      </c>
      <c r="W39" s="64">
        <f t="shared" si="149"/>
        <v>2654672.3281355938</v>
      </c>
      <c r="X39" s="154">
        <f t="shared" si="108"/>
        <v>6657441.0131895235</v>
      </c>
      <c r="Y39" s="139">
        <f t="shared" ref="Y39:AJ39" si="150">Y14-Y38</f>
        <v>-4508191.6549152546</v>
      </c>
      <c r="Z39" s="55">
        <f t="shared" si="150"/>
        <v>-568055.63796610013</v>
      </c>
      <c r="AA39" s="55">
        <f t="shared" si="150"/>
        <v>4390653.3925115559</v>
      </c>
      <c r="AB39" s="55">
        <f t="shared" si="150"/>
        <v>5254295.3416640991</v>
      </c>
      <c r="AC39" s="55">
        <f t="shared" si="150"/>
        <v>5266530.5111556239</v>
      </c>
      <c r="AD39" s="55">
        <f t="shared" si="150"/>
        <v>5278765.6806471497</v>
      </c>
      <c r="AE39" s="55">
        <f t="shared" si="150"/>
        <v>5291000.8501386754</v>
      </c>
      <c r="AF39" s="55">
        <f t="shared" si="150"/>
        <v>5303236.0196302002</v>
      </c>
      <c r="AG39" s="55">
        <f t="shared" si="150"/>
        <v>5315471.189121726</v>
      </c>
      <c r="AH39" s="55">
        <f t="shared" si="150"/>
        <v>5327706.3586132517</v>
      </c>
      <c r="AI39" s="55">
        <f t="shared" si="150"/>
        <v>5339941.5281047765</v>
      </c>
      <c r="AJ39" s="336">
        <f t="shared" si="150"/>
        <v>5352176.6975963023</v>
      </c>
      <c r="AK39" s="154">
        <f t="shared" si="121"/>
        <v>47043530.27630201</v>
      </c>
      <c r="AL39" s="139">
        <f t="shared" ref="AL39:AW39" si="151">AL14-AL38</f>
        <v>-155588.13291217387</v>
      </c>
      <c r="AM39" s="55">
        <f t="shared" si="151"/>
        <v>2139647.0365793519</v>
      </c>
      <c r="AN39" s="55">
        <f t="shared" si="151"/>
        <v>6778650.3143091947</v>
      </c>
      <c r="AO39" s="55">
        <f t="shared" si="151"/>
        <v>7748737.4612018503</v>
      </c>
      <c r="AP39" s="55">
        <f t="shared" si="151"/>
        <v>7764875.4555521309</v>
      </c>
      <c r="AQ39" s="55">
        <f t="shared" si="151"/>
        <v>7781013.4499024153</v>
      </c>
      <c r="AR39" s="55">
        <f t="shared" si="151"/>
        <v>7797151.4442526959</v>
      </c>
      <c r="AS39" s="55">
        <f t="shared" si="151"/>
        <v>7813289.4386029784</v>
      </c>
      <c r="AT39" s="55">
        <f t="shared" si="151"/>
        <v>7829427.4329532608</v>
      </c>
      <c r="AU39" s="55">
        <f t="shared" si="151"/>
        <v>7845565.4273035452</v>
      </c>
      <c r="AV39" s="55">
        <f t="shared" si="151"/>
        <v>7861703.4216538258</v>
      </c>
      <c r="AW39" s="336">
        <f t="shared" si="151"/>
        <v>7781013.4499024153</v>
      </c>
      <c r="AX39" s="245">
        <f t="shared" si="134"/>
        <v>78985486.199301496</v>
      </c>
      <c r="AY39" s="139">
        <f t="shared" ref="AY39:BJ39" si="152">AY14-AY38</f>
        <v>2214439.5798459165</v>
      </c>
      <c r="AZ39" s="55">
        <f t="shared" si="152"/>
        <v>4514957.2352131493</v>
      </c>
      <c r="BA39" s="55">
        <f t="shared" si="152"/>
        <v>10596785.625043657</v>
      </c>
      <c r="BB39" s="55">
        <f t="shared" si="152"/>
        <v>11033826.444252696</v>
      </c>
      <c r="BC39" s="55">
        <f t="shared" si="152"/>
        <v>10636867.263461737</v>
      </c>
      <c r="BD39" s="55">
        <f t="shared" si="152"/>
        <v>10656908.082670776</v>
      </c>
      <c r="BE39" s="55">
        <f t="shared" si="152"/>
        <v>10676948.901879815</v>
      </c>
      <c r="BF39" s="55">
        <f t="shared" si="152"/>
        <v>10634277.856682075</v>
      </c>
      <c r="BG39" s="55">
        <f t="shared" si="152"/>
        <v>10655698.336908065</v>
      </c>
      <c r="BH39" s="55">
        <f t="shared" si="152"/>
        <v>10677118.817134053</v>
      </c>
      <c r="BI39" s="55">
        <f t="shared" si="152"/>
        <v>10698539.29736004</v>
      </c>
      <c r="BJ39" s="336">
        <f t="shared" si="152"/>
        <v>10594196.218263995</v>
      </c>
      <c r="BK39" s="245">
        <f t="shared" si="147"/>
        <v>113590563.65871598</v>
      </c>
    </row>
    <row r="40" spans="1:63" ht="12" customHeight="1">
      <c r="A40" s="349" t="s">
        <v>228</v>
      </c>
      <c r="B40" s="169" t="s">
        <v>16</v>
      </c>
      <c r="C40" s="290">
        <f>((K40+X40)+AK40)+AX40+BK40</f>
        <v>60949993.364189833</v>
      </c>
      <c r="D40" s="313">
        <f>IF((D39&lt;0),0,(D39*0.15))</f>
        <v>0</v>
      </c>
      <c r="E40" s="313">
        <f t="shared" ref="E40:J40" si="153">IF((E39&lt;0),0,(E39*0.15))</f>
        <v>0</v>
      </c>
      <c r="F40" s="313">
        <f t="shared" si="153"/>
        <v>0</v>
      </c>
      <c r="G40" s="313">
        <f t="shared" si="153"/>
        <v>0</v>
      </c>
      <c r="H40" s="313">
        <f t="shared" si="153"/>
        <v>0</v>
      </c>
      <c r="I40" s="313">
        <f t="shared" si="153"/>
        <v>2665.842106317426</v>
      </c>
      <c r="J40" s="313">
        <f t="shared" si="153"/>
        <v>2971.3717673344072</v>
      </c>
      <c r="K40" s="154">
        <f t="shared" si="95"/>
        <v>5637.2138736518336</v>
      </c>
      <c r="L40" s="313">
        <f t="shared" ref="L40" si="154">IF((L39&lt;0),0,(L39*0.15))</f>
        <v>0</v>
      </c>
      <c r="M40" s="313">
        <f t="shared" ref="M40" si="155">IF((M39&lt;0),0,(M39*0.15))</f>
        <v>0</v>
      </c>
      <c r="N40" s="313">
        <f t="shared" ref="N40" si="156">IF((N39&lt;0),0,(N39*0.15))</f>
        <v>202692.36492141758</v>
      </c>
      <c r="O40" s="313">
        <f t="shared" ref="O40" si="157">IF((O39&lt;0),0,(O39*0.15))</f>
        <v>180032.59797226501</v>
      </c>
      <c r="P40" s="313">
        <f t="shared" ref="P40" si="158">IF((P39&lt;0),0,(P39*0.15))</f>
        <v>180640.62763328198</v>
      </c>
      <c r="Q40" s="313">
        <f t="shared" ref="Q40" si="159">IF((Q39&lt;0),0,(Q39*0.15))</f>
        <v>181248.65729429893</v>
      </c>
      <c r="R40" s="313">
        <f t="shared" ref="R40" si="160">IF((R39&lt;0),0,(R39*0.15))</f>
        <v>0</v>
      </c>
      <c r="S40" s="313">
        <f t="shared" ref="S40" si="161">IF((S39&lt;0),0,(S39*0.15))</f>
        <v>0</v>
      </c>
      <c r="T40" s="313">
        <f t="shared" ref="T40" si="162">IF((T39&lt;0),0,(T39*0.15))</f>
        <v>244010.82803389837</v>
      </c>
      <c r="U40" s="313">
        <f t="shared" ref="U40" si="163">IF((U39&lt;0),0,(U39*0.15))</f>
        <v>396060.04413559329</v>
      </c>
      <c r="V40" s="313">
        <f t="shared" ref="V40" si="164">IF((V39&lt;0),0,(V39*0.15))</f>
        <v>397130.44667796616</v>
      </c>
      <c r="W40" s="313">
        <f t="shared" ref="W40" si="165">IF((W39&lt;0),0,(W39*0.15))</f>
        <v>398200.84922033903</v>
      </c>
      <c r="X40" s="154">
        <f t="shared" si="108"/>
        <v>2180016.4158890606</v>
      </c>
      <c r="Y40" s="139">
        <f t="shared" ref="Y40:AJ40" si="166">IF((Y39&lt;0),0,(Y39*0.24))</f>
        <v>0</v>
      </c>
      <c r="Z40" s="55">
        <f t="shared" si="166"/>
        <v>0</v>
      </c>
      <c r="AA40" s="55">
        <f t="shared" si="166"/>
        <v>1053756.8142027734</v>
      </c>
      <c r="AB40" s="55">
        <f t="shared" si="166"/>
        <v>1261030.8819993837</v>
      </c>
      <c r="AC40" s="55">
        <f t="shared" si="166"/>
        <v>1263967.3226773497</v>
      </c>
      <c r="AD40" s="55">
        <f t="shared" si="166"/>
        <v>1266903.7633553159</v>
      </c>
      <c r="AE40" s="55">
        <f t="shared" si="166"/>
        <v>1269840.2040332821</v>
      </c>
      <c r="AF40" s="55">
        <f t="shared" si="166"/>
        <v>1272776.6447112481</v>
      </c>
      <c r="AG40" s="55">
        <f t="shared" si="166"/>
        <v>1275713.0853892141</v>
      </c>
      <c r="AH40" s="55">
        <f t="shared" si="166"/>
        <v>1278649.5260671803</v>
      </c>
      <c r="AI40" s="55">
        <f t="shared" si="166"/>
        <v>1281585.9667451463</v>
      </c>
      <c r="AJ40" s="336">
        <f t="shared" si="166"/>
        <v>1284522.4074231125</v>
      </c>
      <c r="AK40" s="154">
        <f t="shared" si="121"/>
        <v>12508746.616604006</v>
      </c>
      <c r="AL40" s="139">
        <f t="shared" ref="AL40:AW40" si="167">IF((AL39&lt;0),0,(AL39*0.24))</f>
        <v>0</v>
      </c>
      <c r="AM40" s="55">
        <f t="shared" si="167"/>
        <v>513515.28877904441</v>
      </c>
      <c r="AN40" s="55">
        <f t="shared" si="167"/>
        <v>1626876.0754342068</v>
      </c>
      <c r="AO40" s="55">
        <f t="shared" si="167"/>
        <v>1859696.9906884441</v>
      </c>
      <c r="AP40" s="55">
        <f t="shared" si="167"/>
        <v>1863570.1093325114</v>
      </c>
      <c r="AQ40" s="55">
        <f t="shared" si="167"/>
        <v>1867443.2279765797</v>
      </c>
      <c r="AR40" s="55">
        <f t="shared" si="167"/>
        <v>1871316.346620647</v>
      </c>
      <c r="AS40" s="55">
        <f t="shared" si="167"/>
        <v>1875189.4652647148</v>
      </c>
      <c r="AT40" s="55">
        <f t="shared" si="167"/>
        <v>1879062.5839087826</v>
      </c>
      <c r="AU40" s="55">
        <f t="shared" si="167"/>
        <v>1882935.7025528508</v>
      </c>
      <c r="AV40" s="55">
        <f t="shared" si="167"/>
        <v>1886808.8211969181</v>
      </c>
      <c r="AW40" s="336">
        <f t="shared" si="167"/>
        <v>1867443.2279765797</v>
      </c>
      <c r="AX40" s="245">
        <f t="shared" si="134"/>
        <v>18993857.83973128</v>
      </c>
      <c r="AY40" s="139">
        <f t="shared" ref="AY40:BJ40" si="168">IF((AY39&lt;0),0,(AY39*0.24))</f>
        <v>531465.49916301994</v>
      </c>
      <c r="AZ40" s="55">
        <f t="shared" si="168"/>
        <v>1083589.7364511557</v>
      </c>
      <c r="BA40" s="55">
        <f t="shared" si="168"/>
        <v>2543228.5500104777</v>
      </c>
      <c r="BB40" s="55">
        <f t="shared" si="168"/>
        <v>2648118.3466206468</v>
      </c>
      <c r="BC40" s="55">
        <f t="shared" si="168"/>
        <v>2552848.1432308168</v>
      </c>
      <c r="BD40" s="55">
        <f t="shared" si="168"/>
        <v>2557657.9398409864</v>
      </c>
      <c r="BE40" s="55">
        <f t="shared" si="168"/>
        <v>2562467.7364511555</v>
      </c>
      <c r="BF40" s="55">
        <f t="shared" si="168"/>
        <v>2552226.6856036978</v>
      </c>
      <c r="BG40" s="55">
        <f t="shared" si="168"/>
        <v>2557367.6008579354</v>
      </c>
      <c r="BH40" s="55">
        <f t="shared" si="168"/>
        <v>2562508.5161121725</v>
      </c>
      <c r="BI40" s="55">
        <f t="shared" si="168"/>
        <v>2567649.4313664096</v>
      </c>
      <c r="BJ40" s="336">
        <f t="shared" si="168"/>
        <v>2542607.0923833586</v>
      </c>
      <c r="BK40" s="245">
        <f t="shared" si="147"/>
        <v>27261735.278091833</v>
      </c>
    </row>
    <row r="41" spans="1:63" ht="12" customHeight="1">
      <c r="A41" s="179" t="s">
        <v>80</v>
      </c>
      <c r="B41" s="169" t="s">
        <v>16</v>
      </c>
      <c r="C41" s="290">
        <f>SUM(D41:BJ41)</f>
        <v>253387470.47186935</v>
      </c>
      <c r="D41" s="313">
        <f t="shared" ref="D41:J41" si="169">D39-D40</f>
        <v>-8936722.6345454548</v>
      </c>
      <c r="E41" s="299">
        <f t="shared" si="169"/>
        <v>-3695332.8040369805</v>
      </c>
      <c r="F41" s="55">
        <f t="shared" si="169"/>
        <v>-1654338.3125115559</v>
      </c>
      <c r="G41" s="55">
        <f t="shared" si="169"/>
        <v>-819301.44810477644</v>
      </c>
      <c r="H41" s="55">
        <f t="shared" si="169"/>
        <v>-400764.58369799657</v>
      </c>
      <c r="I41" s="55">
        <f t="shared" si="169"/>
        <v>15106.438602465414</v>
      </c>
      <c r="J41" s="64">
        <f t="shared" si="169"/>
        <v>16837.773348228307</v>
      </c>
      <c r="K41" s="154">
        <f t="shared" si="95"/>
        <v>-15474515.570946069</v>
      </c>
      <c r="L41" s="139">
        <f t="shared" ref="L41:W41" si="170">L39-L40</f>
        <v>-2709923.9904776588</v>
      </c>
      <c r="M41" s="55">
        <f t="shared" si="170"/>
        <v>-1866387.1260708775</v>
      </c>
      <c r="N41" s="55">
        <f t="shared" si="170"/>
        <v>1148590.0678880331</v>
      </c>
      <c r="O41" s="55">
        <f t="shared" si="170"/>
        <v>1020184.7218428352</v>
      </c>
      <c r="P41" s="55">
        <f t="shared" si="170"/>
        <v>1023630.2232552646</v>
      </c>
      <c r="Q41" s="55">
        <f t="shared" si="170"/>
        <v>1027075.724667694</v>
      </c>
      <c r="R41" s="55">
        <f t="shared" si="170"/>
        <v>-3197622.0869645625</v>
      </c>
      <c r="S41" s="55">
        <f t="shared" si="170"/>
        <v>-102068.55589111429</v>
      </c>
      <c r="T41" s="55">
        <f t="shared" si="170"/>
        <v>1382728.0255254242</v>
      </c>
      <c r="U41" s="55">
        <f t="shared" si="170"/>
        <v>2244340.2501016953</v>
      </c>
      <c r="V41" s="55">
        <f t="shared" si="170"/>
        <v>2250405.8645084752</v>
      </c>
      <c r="W41" s="64">
        <f t="shared" si="170"/>
        <v>2256471.4789152546</v>
      </c>
      <c r="X41" s="154">
        <f t="shared" si="108"/>
        <v>4477424.5973004624</v>
      </c>
      <c r="Y41" s="139">
        <f t="shared" ref="Y41:AJ41" si="171">Y39-Y40</f>
        <v>-4508191.6549152546</v>
      </c>
      <c r="Z41" s="55">
        <f t="shared" si="171"/>
        <v>-568055.63796610013</v>
      </c>
      <c r="AA41" s="55">
        <f t="shared" si="171"/>
        <v>3336896.5783087825</v>
      </c>
      <c r="AB41" s="55">
        <f t="shared" si="171"/>
        <v>3993264.4596647155</v>
      </c>
      <c r="AC41" s="55">
        <f t="shared" si="171"/>
        <v>4002563.1884782743</v>
      </c>
      <c r="AD41" s="55">
        <f t="shared" si="171"/>
        <v>4011861.917291834</v>
      </c>
      <c r="AE41" s="55">
        <f t="shared" si="171"/>
        <v>4021160.6461053933</v>
      </c>
      <c r="AF41" s="55">
        <f t="shared" si="171"/>
        <v>4030459.3749189521</v>
      </c>
      <c r="AG41" s="55">
        <f t="shared" si="171"/>
        <v>4039758.1037325119</v>
      </c>
      <c r="AH41" s="55">
        <f t="shared" si="171"/>
        <v>4049056.8325460711</v>
      </c>
      <c r="AI41" s="55">
        <f t="shared" si="171"/>
        <v>4058355.56135963</v>
      </c>
      <c r="AJ41" s="336">
        <f t="shared" si="171"/>
        <v>4067654.2901731897</v>
      </c>
      <c r="AK41" s="154">
        <f t="shared" si="121"/>
        <v>34534783.659697995</v>
      </c>
      <c r="AL41" s="139">
        <f t="shared" ref="AL41:AW41" si="172">AL39-AL40</f>
        <v>-155588.13291217387</v>
      </c>
      <c r="AM41" s="55">
        <f t="shared" si="172"/>
        <v>1626131.7478003073</v>
      </c>
      <c r="AN41" s="55">
        <f t="shared" si="172"/>
        <v>5151774.2388749877</v>
      </c>
      <c r="AO41" s="55">
        <f t="shared" si="172"/>
        <v>5889040.4705134062</v>
      </c>
      <c r="AP41" s="55">
        <f t="shared" si="172"/>
        <v>5901305.3462196197</v>
      </c>
      <c r="AQ41" s="55">
        <f t="shared" si="172"/>
        <v>5913570.2219258361</v>
      </c>
      <c r="AR41" s="55">
        <f t="shared" si="172"/>
        <v>5925835.0976320487</v>
      </c>
      <c r="AS41" s="55">
        <f t="shared" si="172"/>
        <v>5938099.9733382631</v>
      </c>
      <c r="AT41" s="55">
        <f t="shared" si="172"/>
        <v>5950364.8490444785</v>
      </c>
      <c r="AU41" s="55">
        <f t="shared" si="172"/>
        <v>5962629.7247506939</v>
      </c>
      <c r="AV41" s="55">
        <f t="shared" si="172"/>
        <v>5974894.6004569074</v>
      </c>
      <c r="AW41" s="336">
        <f t="shared" si="172"/>
        <v>5913570.2219258361</v>
      </c>
      <c r="AX41" s="245">
        <f t="shared" si="134"/>
        <v>59991628.35957022</v>
      </c>
      <c r="AY41" s="139">
        <f t="shared" ref="AY41:BJ41" si="173">AY39-AY40</f>
        <v>1682974.0806828965</v>
      </c>
      <c r="AZ41" s="55">
        <f t="shared" si="173"/>
        <v>3431367.4987619938</v>
      </c>
      <c r="BA41" s="55">
        <f t="shared" si="173"/>
        <v>8053557.0750331786</v>
      </c>
      <c r="BB41" s="55">
        <f t="shared" si="173"/>
        <v>8385708.0976320487</v>
      </c>
      <c r="BC41" s="55">
        <f t="shared" si="173"/>
        <v>8084019.1202309206</v>
      </c>
      <c r="BD41" s="55">
        <f t="shared" si="173"/>
        <v>8099250.1428297898</v>
      </c>
      <c r="BE41" s="55">
        <f t="shared" si="173"/>
        <v>8114481.1654286599</v>
      </c>
      <c r="BF41" s="55">
        <f t="shared" si="173"/>
        <v>8082051.1710783774</v>
      </c>
      <c r="BG41" s="55">
        <f t="shared" si="173"/>
        <v>8098330.7360501289</v>
      </c>
      <c r="BH41" s="55">
        <f t="shared" si="173"/>
        <v>8114610.3010218795</v>
      </c>
      <c r="BI41" s="55">
        <f t="shared" si="173"/>
        <v>8130889.8659936301</v>
      </c>
      <c r="BJ41" s="336">
        <f t="shared" si="173"/>
        <v>8051589.1258806363</v>
      </c>
      <c r="BK41" s="245">
        <f t="shared" si="147"/>
        <v>86328828.380624145</v>
      </c>
    </row>
    <row r="42" spans="1:63" ht="12" customHeight="1">
      <c r="A42" s="179" t="s">
        <v>81</v>
      </c>
      <c r="B42" s="169" t="s">
        <v>16</v>
      </c>
      <c r="C42" s="290">
        <f>BK42</f>
        <v>97344365.103788003</v>
      </c>
      <c r="D42" s="313">
        <f t="shared" ref="D42:J42" si="174">(D41+D19)+D23</f>
        <v>-8936722.6345454548</v>
      </c>
      <c r="E42" s="299">
        <f t="shared" si="174"/>
        <v>-3626688.7362403702</v>
      </c>
      <c r="F42" s="55">
        <f t="shared" si="174"/>
        <v>-1561753.566748844</v>
      </c>
      <c r="G42" s="55">
        <f t="shared" si="174"/>
        <v>-726716.70234206459</v>
      </c>
      <c r="H42" s="55">
        <f t="shared" si="174"/>
        <v>-308179.83793528471</v>
      </c>
      <c r="I42" s="55">
        <f t="shared" si="174"/>
        <v>107691.18436517728</v>
      </c>
      <c r="J42" s="64">
        <f t="shared" si="174"/>
        <v>109422.51911094018</v>
      </c>
      <c r="K42" s="154">
        <f t="shared" si="95"/>
        <v>-14942947.7743359</v>
      </c>
      <c r="L42" s="139">
        <f t="shared" ref="L42:W42" si="175">(L41+L19)+L23</f>
        <v>-2617339.244714947</v>
      </c>
      <c r="M42" s="55">
        <f t="shared" si="175"/>
        <v>-1773802.3803081657</v>
      </c>
      <c r="N42" s="55">
        <f t="shared" si="175"/>
        <v>1332841.4803174117</v>
      </c>
      <c r="O42" s="55">
        <f t="shared" si="175"/>
        <v>1204436.1342722138</v>
      </c>
      <c r="P42" s="55">
        <f t="shared" si="175"/>
        <v>1207881.6356846432</v>
      </c>
      <c r="Q42" s="55">
        <f t="shared" si="175"/>
        <v>1211327.1370970726</v>
      </c>
      <c r="R42" s="55">
        <f t="shared" si="175"/>
        <v>-3013370.6745351842</v>
      </c>
      <c r="S42" s="55">
        <f t="shared" si="175"/>
        <v>82182.85653826427</v>
      </c>
      <c r="T42" s="55">
        <f t="shared" si="175"/>
        <v>1707092.4323050852</v>
      </c>
      <c r="U42" s="55">
        <f t="shared" si="175"/>
        <v>2568704.6568813561</v>
      </c>
      <c r="V42" s="55">
        <f t="shared" si="175"/>
        <v>2574770.271288136</v>
      </c>
      <c r="W42" s="64">
        <f t="shared" si="175"/>
        <v>2580835.8856949154</v>
      </c>
      <c r="X42" s="154">
        <f t="shared" si="108"/>
        <v>7065560.1905208016</v>
      </c>
      <c r="Y42" s="139">
        <f t="shared" ref="Y42:AJ42" si="176">(Y41+Y19)+Y23</f>
        <v>-4183827.2481355937</v>
      </c>
      <c r="Z42" s="55">
        <f t="shared" si="176"/>
        <v>-243691.23118643905</v>
      </c>
      <c r="AA42" s="55">
        <f t="shared" si="176"/>
        <v>3893040.6461053928</v>
      </c>
      <c r="AB42" s="55">
        <f t="shared" si="176"/>
        <v>4549408.5274613257</v>
      </c>
      <c r="AC42" s="55">
        <f t="shared" si="176"/>
        <v>4558707.2562748846</v>
      </c>
      <c r="AD42" s="55">
        <f t="shared" si="176"/>
        <v>4568005.9850884434</v>
      </c>
      <c r="AE42" s="55">
        <f t="shared" si="176"/>
        <v>4577304.7139020031</v>
      </c>
      <c r="AF42" s="55">
        <f t="shared" si="176"/>
        <v>4586603.4427155619</v>
      </c>
      <c r="AG42" s="55">
        <f t="shared" si="176"/>
        <v>4595902.1715291217</v>
      </c>
      <c r="AH42" s="55">
        <f t="shared" si="176"/>
        <v>4605200.9003426805</v>
      </c>
      <c r="AI42" s="55">
        <f t="shared" si="176"/>
        <v>4614499.6291562393</v>
      </c>
      <c r="AJ42" s="336">
        <f t="shared" si="176"/>
        <v>4623798.3579698</v>
      </c>
      <c r="AK42" s="154">
        <f t="shared" si="121"/>
        <v>40744953.151223414</v>
      </c>
      <c r="AL42" s="139">
        <f t="shared" ref="AL42:AW42" si="177">(AL41+AL19)+AL23</f>
        <v>400555.93488443637</v>
      </c>
      <c r="AM42" s="55">
        <f t="shared" si="177"/>
        <v>2182275.8155969176</v>
      </c>
      <c r="AN42" s="55">
        <f t="shared" si="177"/>
        <v>5885319.4366151011</v>
      </c>
      <c r="AO42" s="55">
        <f t="shared" si="177"/>
        <v>6622585.6682535196</v>
      </c>
      <c r="AP42" s="55">
        <f t="shared" si="177"/>
        <v>6634850.5439597331</v>
      </c>
      <c r="AQ42" s="55">
        <f t="shared" si="177"/>
        <v>6647115.4196659494</v>
      </c>
      <c r="AR42" s="55">
        <f t="shared" si="177"/>
        <v>6659380.295372162</v>
      </c>
      <c r="AS42" s="55">
        <f t="shared" si="177"/>
        <v>6671645.1710783765</v>
      </c>
      <c r="AT42" s="55">
        <f t="shared" si="177"/>
        <v>6683910.0467845919</v>
      </c>
      <c r="AU42" s="55">
        <f t="shared" si="177"/>
        <v>6696174.9224908073</v>
      </c>
      <c r="AV42" s="55">
        <f t="shared" si="177"/>
        <v>6708439.7981970208</v>
      </c>
      <c r="AW42" s="336">
        <f t="shared" si="177"/>
        <v>6647115.4196659494</v>
      </c>
      <c r="AX42" s="245">
        <f t="shared" si="134"/>
        <v>68439368.472564563</v>
      </c>
      <c r="AY42" s="139">
        <f t="shared" ref="AY42:BJ42" si="178">(AY41+AY19)+AY23</f>
        <v>2479231.1428297893</v>
      </c>
      <c r="AZ42" s="55">
        <f t="shared" si="178"/>
        <v>4227624.5609088866</v>
      </c>
      <c r="BA42" s="55">
        <f t="shared" si="178"/>
        <v>8964503.402716795</v>
      </c>
      <c r="BB42" s="55">
        <f t="shared" si="178"/>
        <v>9296654.4253156651</v>
      </c>
      <c r="BC42" s="55">
        <f t="shared" si="178"/>
        <v>8994965.447914537</v>
      </c>
      <c r="BD42" s="55">
        <f t="shared" si="178"/>
        <v>9010196.4705134071</v>
      </c>
      <c r="BE42" s="55">
        <f t="shared" si="178"/>
        <v>9025427.4931122772</v>
      </c>
      <c r="BF42" s="55">
        <f t="shared" si="178"/>
        <v>9055709.3631687742</v>
      </c>
      <c r="BG42" s="55">
        <f t="shared" si="178"/>
        <v>9071988.9281405248</v>
      </c>
      <c r="BH42" s="55">
        <f t="shared" si="178"/>
        <v>9088268.4931122754</v>
      </c>
      <c r="BI42" s="55">
        <f t="shared" si="178"/>
        <v>9104548.058084026</v>
      </c>
      <c r="BJ42" s="336">
        <f t="shared" si="178"/>
        <v>9025247.3179710321</v>
      </c>
      <c r="BK42" s="245">
        <f t="shared" si="147"/>
        <v>97344365.103788003</v>
      </c>
    </row>
    <row r="43" spans="1:63" ht="16.5" customHeight="1">
      <c r="A43" s="167" t="s">
        <v>82</v>
      </c>
      <c r="B43" s="128" t="s">
        <v>16</v>
      </c>
      <c r="C43" s="293">
        <f>BJ43</f>
        <v>198651299.14376083</v>
      </c>
      <c r="D43" s="320">
        <f>D42</f>
        <v>-8936722.6345454548</v>
      </c>
      <c r="E43" s="306">
        <f t="shared" ref="E43:J43" si="179">D43+E42</f>
        <v>-12563411.370785825</v>
      </c>
      <c r="F43" s="177">
        <f t="shared" si="179"/>
        <v>-14125164.937534669</v>
      </c>
      <c r="G43" s="177">
        <f t="shared" si="179"/>
        <v>-14851881.639876734</v>
      </c>
      <c r="H43" s="177">
        <f t="shared" si="179"/>
        <v>-15160061.477812018</v>
      </c>
      <c r="I43" s="177">
        <f t="shared" si="179"/>
        <v>-15052370.293446841</v>
      </c>
      <c r="J43" s="88">
        <f t="shared" si="179"/>
        <v>-14942947.7743359</v>
      </c>
      <c r="K43" s="154"/>
      <c r="L43" s="185">
        <f>J43+L42</f>
        <v>-17560287.019050848</v>
      </c>
      <c r="M43" s="177">
        <f t="shared" ref="M43:W43" si="180">L43+M42</f>
        <v>-19334089.399359014</v>
      </c>
      <c r="N43" s="177">
        <f t="shared" si="180"/>
        <v>-18001247.919041604</v>
      </c>
      <c r="O43" s="177">
        <f t="shared" si="180"/>
        <v>-16796811.78476939</v>
      </c>
      <c r="P43" s="177">
        <f t="shared" si="180"/>
        <v>-15588930.149084747</v>
      </c>
      <c r="Q43" s="177">
        <f t="shared" si="180"/>
        <v>-14377603.011987675</v>
      </c>
      <c r="R43" s="177">
        <f t="shared" si="180"/>
        <v>-17390973.68652286</v>
      </c>
      <c r="S43" s="177">
        <f t="shared" si="180"/>
        <v>-17308790.829984594</v>
      </c>
      <c r="T43" s="177">
        <f t="shared" si="180"/>
        <v>-15601698.39767951</v>
      </c>
      <c r="U43" s="177">
        <f t="shared" si="180"/>
        <v>-13032993.740798153</v>
      </c>
      <c r="V43" s="177">
        <f t="shared" si="180"/>
        <v>-10458223.469510017</v>
      </c>
      <c r="W43" s="88">
        <f t="shared" si="180"/>
        <v>-7877387.5838151015</v>
      </c>
      <c r="X43" s="154"/>
      <c r="Y43" s="185">
        <f>W43+Y42</f>
        <v>-12061214.831950694</v>
      </c>
      <c r="Z43" s="177">
        <f t="shared" ref="Z43:AJ43" si="181">Y43+Z42</f>
        <v>-12304906.063137133</v>
      </c>
      <c r="AA43" s="177">
        <f t="shared" si="181"/>
        <v>-8411865.4170317389</v>
      </c>
      <c r="AB43" s="177">
        <f t="shared" si="181"/>
        <v>-3862456.8895704132</v>
      </c>
      <c r="AC43" s="177">
        <f t="shared" si="181"/>
        <v>696250.36670447141</v>
      </c>
      <c r="AD43" s="177">
        <f t="shared" si="181"/>
        <v>5264256.3517929148</v>
      </c>
      <c r="AE43" s="177">
        <f t="shared" si="181"/>
        <v>9841561.065694917</v>
      </c>
      <c r="AF43" s="177">
        <f t="shared" si="181"/>
        <v>14428164.50841048</v>
      </c>
      <c r="AG43" s="177">
        <f t="shared" si="181"/>
        <v>19024066.679939602</v>
      </c>
      <c r="AH43" s="177">
        <f t="shared" si="181"/>
        <v>23629267.580282282</v>
      </c>
      <c r="AI43" s="177">
        <f t="shared" si="181"/>
        <v>28243767.209438521</v>
      </c>
      <c r="AJ43" s="343">
        <f t="shared" si="181"/>
        <v>32867565.567408323</v>
      </c>
      <c r="AK43" s="154"/>
      <c r="AL43" s="185">
        <f>AJ43+AL42</f>
        <v>33268121.50229276</v>
      </c>
      <c r="AM43" s="177">
        <f>AL43+AM42</f>
        <v>35450397.317889675</v>
      </c>
      <c r="AN43" s="177">
        <f>AM43+AN42</f>
        <v>41335716.754504777</v>
      </c>
      <c r="AO43" s="177">
        <f>AN43+AO42</f>
        <v>47958302.422758296</v>
      </c>
      <c r="AP43" s="177">
        <f>AO43+AP42</f>
        <v>54593152.966718033</v>
      </c>
      <c r="AQ43" s="177">
        <f t="shared" ref="AQ43:AW43" si="182">AP43+AQ42</f>
        <v>61240268.386383981</v>
      </c>
      <c r="AR43" s="177">
        <f t="shared" si="182"/>
        <v>67899648.681756139</v>
      </c>
      <c r="AS43" s="177">
        <f t="shared" si="182"/>
        <v>74571293.852834523</v>
      </c>
      <c r="AT43" s="177">
        <f t="shared" si="182"/>
        <v>81255203.899619117</v>
      </c>
      <c r="AU43" s="177">
        <f t="shared" si="182"/>
        <v>87951378.822109923</v>
      </c>
      <c r="AV43" s="177">
        <f t="shared" si="182"/>
        <v>94659818.620306939</v>
      </c>
      <c r="AW43" s="177">
        <f t="shared" si="182"/>
        <v>101306934.03997289</v>
      </c>
      <c r="AX43" s="220"/>
      <c r="AY43" s="185">
        <f>AW43+AY42</f>
        <v>103786165.18280268</v>
      </c>
      <c r="AZ43" s="177">
        <f>AY43+AZ42</f>
        <v>108013789.74371156</v>
      </c>
      <c r="BA43" s="177">
        <f>AZ43+BA42</f>
        <v>116978293.14642836</v>
      </c>
      <c r="BB43" s="177">
        <f>BA43+BB42</f>
        <v>126274947.57174402</v>
      </c>
      <c r="BC43" s="177">
        <f>BB43+BC42</f>
        <v>135269913.01965857</v>
      </c>
      <c r="BD43" s="177">
        <f t="shared" ref="BD43" si="183">BC43+BD42</f>
        <v>144280109.49017197</v>
      </c>
      <c r="BE43" s="177">
        <f t="shared" ref="BE43" si="184">BD43+BE42</f>
        <v>153305536.98328424</v>
      </c>
      <c r="BF43" s="177">
        <f t="shared" ref="BF43" si="185">BE43+BF42</f>
        <v>162361246.34645301</v>
      </c>
      <c r="BG43" s="177">
        <f t="shared" ref="BG43" si="186">BF43+BG42</f>
        <v>171433235.27459353</v>
      </c>
      <c r="BH43" s="177">
        <f t="shared" ref="BH43" si="187">BG43+BH42</f>
        <v>180521503.7677058</v>
      </c>
      <c r="BI43" s="177">
        <f t="shared" ref="BI43" si="188">BH43+BI42</f>
        <v>189626051.82578981</v>
      </c>
      <c r="BJ43" s="177">
        <f t="shared" ref="BJ43" si="189">BI43+BJ42</f>
        <v>198651299.14376083</v>
      </c>
      <c r="BK43" s="220"/>
    </row>
    <row r="44" spans="1:63" s="250" customFormat="1" ht="15.75" customHeight="1">
      <c r="A44" s="78" t="s">
        <v>83</v>
      </c>
      <c r="B44" s="169" t="s">
        <v>16</v>
      </c>
      <c r="C44" s="290">
        <f>((K44+X44)+AK44)+AX44</f>
        <v>0</v>
      </c>
      <c r="D44" s="313">
        <f>D42/((1+('Исходные данные'!$C$4/12))^D2)</f>
        <v>-8936722.6345454548</v>
      </c>
      <c r="E44" s="299">
        <f>E42/((1+('Исходные данные'!$C$4/12))^E2)</f>
        <v>-3567234.822531512</v>
      </c>
      <c r="F44" s="55">
        <f>F42/((1+('Исходные данные'!$C$4/12))^F2)</f>
        <v>-1510968.2451749097</v>
      </c>
      <c r="G44" s="55">
        <f>G42/((1+('Исходные данные'!$C$4/12))^G2)</f>
        <v>-691559.23934552225</v>
      </c>
      <c r="H44" s="55">
        <f>H42/((1+('Исходные данные'!$C$4/12))^H2)</f>
        <v>-288462.84596517397</v>
      </c>
      <c r="I44" s="55">
        <f>I42/((1+('Исходные данные'!$C$4/12))^I2)</f>
        <v>99148.746996894391</v>
      </c>
      <c r="J44" s="64">
        <f>J42/((1+('Исходные данные'!$C$4/12))^J2)</f>
        <v>99091.225849177514</v>
      </c>
      <c r="K44" s="154"/>
      <c r="L44" s="139">
        <f>L42/((1+('Исходные данные'!$C$4/12))^L2)</f>
        <v>-2331363.1341728647</v>
      </c>
      <c r="M44" s="55">
        <f>M42/((1+('Исходные данные'!$C$4/12))^M2)</f>
        <v>-1554091.3970485502</v>
      </c>
      <c r="N44" s="55">
        <f>N42/((1+('Исходные данные'!$C$4/12))^N2)</f>
        <v>1148606.4179632247</v>
      </c>
      <c r="O44" s="55">
        <f>O42/((1+('Исходные данные'!$C$4/12))^O2)</f>
        <v>1020934.6176286227</v>
      </c>
      <c r="P44" s="55">
        <f>P42/((1+('Исходные данные'!$C$4/12))^P2)</f>
        <v>1007070.669517668</v>
      </c>
      <c r="Q44" s="55">
        <f>Q42/((1+('Исходные данные'!$C$4/12))^Q2)</f>
        <v>993386.9060484512</v>
      </c>
      <c r="R44" s="55">
        <f>R42/((1+('Исходные данные'!$C$4/12))^R2)</f>
        <v>-2430697.7408407587</v>
      </c>
      <c r="S44" s="55">
        <f>S42/((1+('Исходные данные'!$C$4/12))^S2)</f>
        <v>65205.022297273092</v>
      </c>
      <c r="T44" s="55">
        <f>T42/((1+('Исходные данные'!$C$4/12))^T2)</f>
        <v>1332227.1119566634</v>
      </c>
      <c r="U44" s="55">
        <f>U42/((1+('Исходные данные'!$C$4/12))^U2)</f>
        <v>1971772.5624087409</v>
      </c>
      <c r="V44" s="55">
        <f>V42/((1+('Исходные данные'!$C$4/12))^V2)</f>
        <v>1944028.1413401472</v>
      </c>
      <c r="W44" s="64">
        <f>W42/((1+('Исходные данные'!$C$4/12))^W2)</f>
        <v>1916663.4694808945</v>
      </c>
      <c r="X44" s="154"/>
      <c r="Y44" s="139">
        <f>Y42/((1+('Исходные данные'!$C$4/12))^Y2)</f>
        <v>-3056192.0109865265</v>
      </c>
      <c r="Z44" s="55">
        <f>Z42/((1+('Исходные данные'!$C$4/12))^Z2)</f>
        <v>-175092.76846104546</v>
      </c>
      <c r="AA44" s="55">
        <f>AA42/((1+('Исходные данные'!$C$4/12))^AA2)</f>
        <v>2751304.5153430542</v>
      </c>
      <c r="AB44" s="55">
        <f>AB42/((1+('Исходные данные'!$C$4/12))^AB2)</f>
        <v>3162467.5325757703</v>
      </c>
      <c r="AC44" s="55">
        <f>AC42/((1+('Исходные данные'!$C$4/12))^AC2)</f>
        <v>3116981.7382973186</v>
      </c>
      <c r="AD44" s="55">
        <f>AD42/((1+('Исходные данные'!$C$4/12))^AD2)</f>
        <v>3072137.3843223848</v>
      </c>
      <c r="AE44" s="55">
        <f>AE42/((1+('Исходные данные'!$C$4/12))^AE2)</f>
        <v>3027925.6638993588</v>
      </c>
      <c r="AF44" s="55">
        <f>AF42/((1+('Исходные данные'!$C$4/12))^AF2)</f>
        <v>2984337.8866387312</v>
      </c>
      <c r="AG44" s="55">
        <f>AG42/((1+('Исходные данные'!$C$4/12))^AG2)</f>
        <v>2941365.4770647204</v>
      </c>
      <c r="AH44" s="55">
        <f>AH42/((1+('Исходные данные'!$C$4/12))^AH2)</f>
        <v>2898999.9731831001</v>
      </c>
      <c r="AI44" s="55">
        <f>AI42/((1+('Исходные данные'!$C$4/12))^AI2)</f>
        <v>2857233.025065117</v>
      </c>
      <c r="AJ44" s="336">
        <f>AJ42/((1+('Исходные данные'!$C$4/12))^AJ2)</f>
        <v>2816056.393447326</v>
      </c>
      <c r="AK44" s="154"/>
      <c r="AL44" s="139">
        <f>AL42/((1+('Исходные данные'!$C$4/12))^AL2)</f>
        <v>239953.47704406606</v>
      </c>
      <c r="AM44" s="55">
        <f>AM42/((1+('Исходные данные'!$C$4/12))^AM2)</f>
        <v>1285863.6862307864</v>
      </c>
      <c r="AN44" s="55">
        <f>AN42/((1+('Исходные данные'!$C$4/12))^AN2)</f>
        <v>3410960.9484054516</v>
      </c>
      <c r="AO44" s="55">
        <f>AO42/((1+('Исходные данные'!$C$4/12))^AO2)</f>
        <v>3775336.8544161418</v>
      </c>
      <c r="AP44" s="55">
        <f>AP42/((1+('Исходные данные'!$C$4/12))^AP2)</f>
        <v>3720323.3026992134</v>
      </c>
      <c r="AQ44" s="55">
        <f>AQ42/((1+('Исходные данные'!$C$4/12))^AQ2)</f>
        <v>3666098.871233576</v>
      </c>
      <c r="AR44" s="55">
        <f>AR42/((1+('Исходные данные'!$C$4/12))^AR2)</f>
        <v>3612652.4718389139</v>
      </c>
      <c r="AS44" s="55">
        <f>AS42/((1+('Исходные данные'!$C$4/12))^AS2)</f>
        <v>3559973.1678097239</v>
      </c>
      <c r="AT44" s="55">
        <f>AT42/((1+('Исходные данные'!$C$4/12))^AT2)</f>
        <v>3508050.1719288076</v>
      </c>
      <c r="AU44" s="55">
        <f>AU42/((1+('Исходные данные'!$C$4/12))^AU2)</f>
        <v>3456872.8445052034</v>
      </c>
      <c r="AV44" s="55">
        <f>AV42/((1+('Исходные данные'!$C$4/12))^AV2)</f>
        <v>3406430.6914362749</v>
      </c>
      <c r="AW44" s="336">
        <f>AW42/((1+('Исходные данные'!$C$4/12))^AW2)</f>
        <v>3319958.58061451</v>
      </c>
      <c r="AX44" s="89"/>
      <c r="AY44" s="139">
        <f>AY42/((1+('Исходные данные'!$C$4/12))^AY2)</f>
        <v>1217973.6133724956</v>
      </c>
      <c r="AZ44" s="55">
        <f>AZ42/((1+('Исходные данные'!$C$4/12))^AZ2)</f>
        <v>2042860.3945368668</v>
      </c>
      <c r="BA44" s="55">
        <f>BA42/((1+('Исходные данные'!$C$4/12))^BA2)</f>
        <v>4260788.0218348792</v>
      </c>
      <c r="BB44" s="55">
        <f>BB42/((1+('Исходные данные'!$C$4/12))^BB2)</f>
        <v>4346220.8894736972</v>
      </c>
      <c r="BC44" s="55">
        <f>BC42/((1+('Исходные данные'!$C$4/12))^BC2)</f>
        <v>4136242.778857924</v>
      </c>
      <c r="BD44" s="55">
        <f>BD42/((1+('Исходные данные'!$C$4/12))^BD2)</f>
        <v>4075324.533126398</v>
      </c>
      <c r="BE44" s="55">
        <f>BE42/((1+('Исходные данные'!$C$4/12))^BE2)</f>
        <v>4015292.0125226309</v>
      </c>
      <c r="BF44" s="55">
        <f>BF42/((1+('Исходные данные'!$C$4/12))^BF2)</f>
        <v>3962718.6999455453</v>
      </c>
      <c r="BG44" s="55">
        <f>BG42/((1+('Исходные данные'!$C$4/12))^BG2)</f>
        <v>3904763.1444811369</v>
      </c>
      <c r="BH44" s="55">
        <f>BH42/((1+('Исходные данные'!$C$4/12))^BH2)</f>
        <v>3847642.8104805029</v>
      </c>
      <c r="BI44" s="55">
        <f>BI42/((1+('Исходные данные'!$C$4/12))^BI2)</f>
        <v>3791345.8888968537</v>
      </c>
      <c r="BJ44" s="336">
        <f>BJ42/((1+('Исходные данные'!$C$4/12))^BJ2)</f>
        <v>3696711.3575564628</v>
      </c>
      <c r="BK44" s="89"/>
    </row>
    <row r="45" spans="1:63" s="250" customFormat="1" ht="18" customHeight="1" thickBot="1">
      <c r="A45" s="265" t="s">
        <v>84</v>
      </c>
      <c r="B45" s="266" t="s">
        <v>16</v>
      </c>
      <c r="C45" s="294">
        <f>BJ45</f>
        <v>96944918.8555004</v>
      </c>
      <c r="D45" s="321">
        <f>D44</f>
        <v>-8936722.6345454548</v>
      </c>
      <c r="E45" s="307">
        <f t="shared" ref="E45:J45" si="190">D45+E44</f>
        <v>-12503957.457076967</v>
      </c>
      <c r="F45" s="269">
        <f t="shared" si="190"/>
        <v>-14014925.702251876</v>
      </c>
      <c r="G45" s="269">
        <f t="shared" si="190"/>
        <v>-14706484.941597398</v>
      </c>
      <c r="H45" s="269">
        <f t="shared" si="190"/>
        <v>-14994947.787562571</v>
      </c>
      <c r="I45" s="269">
        <f t="shared" si="190"/>
        <v>-14895799.040565677</v>
      </c>
      <c r="J45" s="267">
        <f t="shared" si="190"/>
        <v>-14796707.814716499</v>
      </c>
      <c r="K45" s="270"/>
      <c r="L45" s="268">
        <f>J45+L44</f>
        <v>-17128070.948889364</v>
      </c>
      <c r="M45" s="269">
        <f t="shared" ref="M45:W45" si="191">L45+M44</f>
        <v>-18682162.345937915</v>
      </c>
      <c r="N45" s="269">
        <f t="shared" si="191"/>
        <v>-17533555.92797469</v>
      </c>
      <c r="O45" s="269">
        <f t="shared" si="191"/>
        <v>-16512621.310346067</v>
      </c>
      <c r="P45" s="269">
        <f t="shared" si="191"/>
        <v>-15505550.640828399</v>
      </c>
      <c r="Q45" s="269">
        <f t="shared" si="191"/>
        <v>-14512163.734779948</v>
      </c>
      <c r="R45" s="269">
        <f t="shared" si="191"/>
        <v>-16942861.475620706</v>
      </c>
      <c r="S45" s="269">
        <f t="shared" si="191"/>
        <v>-16877656.453323431</v>
      </c>
      <c r="T45" s="269">
        <f t="shared" si="191"/>
        <v>-15545429.341366768</v>
      </c>
      <c r="U45" s="269">
        <f t="shared" si="191"/>
        <v>-13573656.778958026</v>
      </c>
      <c r="V45" s="269">
        <f t="shared" si="191"/>
        <v>-11629628.637617879</v>
      </c>
      <c r="W45" s="267">
        <f t="shared" si="191"/>
        <v>-9712965.1681369841</v>
      </c>
      <c r="X45" s="270"/>
      <c r="Y45" s="268">
        <f>W45+Y44</f>
        <v>-12769157.17912351</v>
      </c>
      <c r="Z45" s="269">
        <f t="shared" ref="Z45:AJ45" si="192">Y45+Z44</f>
        <v>-12944249.947584555</v>
      </c>
      <c r="AA45" s="269">
        <f t="shared" si="192"/>
        <v>-10192945.432241499</v>
      </c>
      <c r="AB45" s="269">
        <f t="shared" si="192"/>
        <v>-7030477.8996657291</v>
      </c>
      <c r="AC45" s="269">
        <f t="shared" si="192"/>
        <v>-3913496.1613684106</v>
      </c>
      <c r="AD45" s="269">
        <f t="shared" si="192"/>
        <v>-841358.77704602573</v>
      </c>
      <c r="AE45" s="269">
        <f t="shared" si="192"/>
        <v>2186566.8868533331</v>
      </c>
      <c r="AF45" s="269">
        <f t="shared" si="192"/>
        <v>5170904.7734920643</v>
      </c>
      <c r="AG45" s="269">
        <f t="shared" si="192"/>
        <v>8112270.2505567847</v>
      </c>
      <c r="AH45" s="269">
        <f t="shared" si="192"/>
        <v>11011270.223739885</v>
      </c>
      <c r="AI45" s="269">
        <f t="shared" si="192"/>
        <v>13868503.248805001</v>
      </c>
      <c r="AJ45" s="344">
        <f t="shared" si="192"/>
        <v>16684559.642252328</v>
      </c>
      <c r="AK45" s="270"/>
      <c r="AL45" s="268">
        <f>AJ45+AL44</f>
        <v>16924513.119296394</v>
      </c>
      <c r="AM45" s="269">
        <f>AL45+AM44</f>
        <v>18210376.80552718</v>
      </c>
      <c r="AN45" s="269">
        <f>AM45+AN44</f>
        <v>21621337.753932633</v>
      </c>
      <c r="AO45" s="269">
        <f>AN45+AO44</f>
        <v>25396674.608348776</v>
      </c>
      <c r="AP45" s="269">
        <f>AO45+AP44</f>
        <v>29116997.911047988</v>
      </c>
      <c r="AQ45" s="269">
        <f t="shared" ref="AQ45:AW45" si="193">AP45+AQ44</f>
        <v>32783096.782281563</v>
      </c>
      <c r="AR45" s="269">
        <f t="shared" si="193"/>
        <v>36395749.254120477</v>
      </c>
      <c r="AS45" s="269">
        <f t="shared" si="193"/>
        <v>39955722.421930201</v>
      </c>
      <c r="AT45" s="269">
        <f t="shared" si="193"/>
        <v>43463772.593859009</v>
      </c>
      <c r="AU45" s="269">
        <f t="shared" si="193"/>
        <v>46920645.438364215</v>
      </c>
      <c r="AV45" s="269">
        <f t="shared" si="193"/>
        <v>50327076.129800491</v>
      </c>
      <c r="AW45" s="269">
        <f t="shared" si="193"/>
        <v>53647034.710414998</v>
      </c>
      <c r="AX45" s="271"/>
      <c r="AY45" s="268">
        <f>AW45+AY44</f>
        <v>54865008.323787495</v>
      </c>
      <c r="AZ45" s="269">
        <f>AY45+AZ44</f>
        <v>56907868.718324363</v>
      </c>
      <c r="BA45" s="269">
        <f>AZ45+BA44</f>
        <v>61168656.740159243</v>
      </c>
      <c r="BB45" s="269">
        <f>BA45+BB44</f>
        <v>65514877.629632942</v>
      </c>
      <c r="BC45" s="269">
        <f>BB45+BC44</f>
        <v>69651120.408490866</v>
      </c>
      <c r="BD45" s="269">
        <f t="shared" ref="BD45" si="194">BC45+BD44</f>
        <v>73726444.941617265</v>
      </c>
      <c r="BE45" s="269">
        <f t="shared" ref="BE45" si="195">BD45+BE44</f>
        <v>77741736.954139903</v>
      </c>
      <c r="BF45" s="269">
        <f t="shared" ref="BF45" si="196">BE45+BF44</f>
        <v>81704455.654085442</v>
      </c>
      <c r="BG45" s="269">
        <f t="shared" ref="BG45" si="197">BF45+BG44</f>
        <v>85609218.79856658</v>
      </c>
      <c r="BH45" s="269">
        <f t="shared" ref="BH45" si="198">BG45+BH44</f>
        <v>89456861.609047085</v>
      </c>
      <c r="BI45" s="269">
        <f t="shared" ref="BI45" si="199">BH45+BI44</f>
        <v>93248207.497943938</v>
      </c>
      <c r="BJ45" s="269">
        <f t="shared" ref="BJ45" si="200">BI45+BJ44</f>
        <v>96944918.8555004</v>
      </c>
      <c r="BK45" s="271"/>
    </row>
    <row r="46" spans="1:63" s="250" customFormat="1" ht="19.5" customHeight="1" thickBot="1">
      <c r="A46" s="275" t="s">
        <v>226</v>
      </c>
      <c r="B46" s="277" t="s">
        <v>16</v>
      </c>
      <c r="C46" s="295">
        <f>((K46+X46)+AK46)+AX46+BK46</f>
        <v>28614296.968094505</v>
      </c>
      <c r="D46" s="322">
        <f>IF((D39&lt;0),(-1*D39),0)</f>
        <v>8936722.6345454548</v>
      </c>
      <c r="E46" s="308">
        <f t="shared" ref="E46:J46" si="201">IF((E39&lt;0),(-1*E39),0)</f>
        <v>3695332.8040369805</v>
      </c>
      <c r="F46" s="276">
        <f t="shared" si="201"/>
        <v>1654338.3125115559</v>
      </c>
      <c r="G46" s="276">
        <f t="shared" si="201"/>
        <v>819301.44810477644</v>
      </c>
      <c r="H46" s="276">
        <f t="shared" si="201"/>
        <v>400764.58369799657</v>
      </c>
      <c r="I46" s="276">
        <f t="shared" si="201"/>
        <v>0</v>
      </c>
      <c r="J46" s="276">
        <f t="shared" si="201"/>
        <v>0</v>
      </c>
      <c r="K46" s="278">
        <f>SUM(D46:J46)</f>
        <v>15506459.782896765</v>
      </c>
      <c r="L46" s="322">
        <f t="shared" ref="L46:W46" si="202">IF((L39&lt;0),(-1*L39),0)</f>
        <v>2709923.9904776588</v>
      </c>
      <c r="M46" s="276">
        <f t="shared" si="202"/>
        <v>1866387.1260708775</v>
      </c>
      <c r="N46" s="276">
        <f t="shared" si="202"/>
        <v>0</v>
      </c>
      <c r="O46" s="276">
        <f t="shared" si="202"/>
        <v>0</v>
      </c>
      <c r="P46" s="276">
        <f t="shared" si="202"/>
        <v>0</v>
      </c>
      <c r="Q46" s="276">
        <f t="shared" si="202"/>
        <v>0</v>
      </c>
      <c r="R46" s="276">
        <f t="shared" si="202"/>
        <v>3197622.0869645625</v>
      </c>
      <c r="S46" s="276">
        <f t="shared" si="202"/>
        <v>102068.55589111429</v>
      </c>
      <c r="T46" s="276">
        <f t="shared" si="202"/>
        <v>0</v>
      </c>
      <c r="U46" s="276">
        <f t="shared" si="202"/>
        <v>0</v>
      </c>
      <c r="V46" s="276">
        <f t="shared" si="202"/>
        <v>0</v>
      </c>
      <c r="W46" s="276">
        <f t="shared" si="202"/>
        <v>0</v>
      </c>
      <c r="X46" s="278">
        <f>SUM(L46:W46)</f>
        <v>7876001.7594042132</v>
      </c>
      <c r="Y46" s="276">
        <f t="shared" ref="Y46:AJ46" si="203">IF((Y39&lt;0),(-1*Y39),0)</f>
        <v>4508191.6549152546</v>
      </c>
      <c r="Z46" s="276">
        <f t="shared" si="203"/>
        <v>568055.63796610013</v>
      </c>
      <c r="AA46" s="276">
        <f t="shared" si="203"/>
        <v>0</v>
      </c>
      <c r="AB46" s="276">
        <f t="shared" si="203"/>
        <v>0</v>
      </c>
      <c r="AC46" s="276">
        <f t="shared" si="203"/>
        <v>0</v>
      </c>
      <c r="AD46" s="276">
        <f t="shared" si="203"/>
        <v>0</v>
      </c>
      <c r="AE46" s="276">
        <f t="shared" si="203"/>
        <v>0</v>
      </c>
      <c r="AF46" s="276">
        <f t="shared" si="203"/>
        <v>0</v>
      </c>
      <c r="AG46" s="276">
        <f t="shared" si="203"/>
        <v>0</v>
      </c>
      <c r="AH46" s="276">
        <f t="shared" si="203"/>
        <v>0</v>
      </c>
      <c r="AI46" s="276">
        <f t="shared" si="203"/>
        <v>0</v>
      </c>
      <c r="AJ46" s="345">
        <f t="shared" si="203"/>
        <v>0</v>
      </c>
      <c r="AK46" s="278">
        <f>SUM(Y46:AJ46)</f>
        <v>5076247.2928813547</v>
      </c>
      <c r="AL46" s="276">
        <f t="shared" ref="AL46:AW46" si="204">IF((AL39&lt;0),(-1*AL39),0)</f>
        <v>155588.13291217387</v>
      </c>
      <c r="AM46" s="276">
        <f t="shared" si="204"/>
        <v>0</v>
      </c>
      <c r="AN46" s="276">
        <f t="shared" si="204"/>
        <v>0</v>
      </c>
      <c r="AO46" s="276">
        <f t="shared" si="204"/>
        <v>0</v>
      </c>
      <c r="AP46" s="276">
        <f t="shared" si="204"/>
        <v>0</v>
      </c>
      <c r="AQ46" s="276">
        <f t="shared" si="204"/>
        <v>0</v>
      </c>
      <c r="AR46" s="276">
        <f t="shared" si="204"/>
        <v>0</v>
      </c>
      <c r="AS46" s="276">
        <f t="shared" si="204"/>
        <v>0</v>
      </c>
      <c r="AT46" s="276">
        <f t="shared" si="204"/>
        <v>0</v>
      </c>
      <c r="AU46" s="276">
        <f t="shared" si="204"/>
        <v>0</v>
      </c>
      <c r="AV46" s="276">
        <f t="shared" si="204"/>
        <v>0</v>
      </c>
      <c r="AW46" s="345">
        <f t="shared" si="204"/>
        <v>0</v>
      </c>
      <c r="AX46" s="279">
        <f>SUM(AL46:AW46)</f>
        <v>155588.13291217387</v>
      </c>
      <c r="AY46" s="276">
        <f t="shared" ref="AY46:BJ46" si="205">IF((AY39&lt;0),(-1*AY39),0)</f>
        <v>0</v>
      </c>
      <c r="AZ46" s="276">
        <f t="shared" si="205"/>
        <v>0</v>
      </c>
      <c r="BA46" s="276">
        <f t="shared" si="205"/>
        <v>0</v>
      </c>
      <c r="BB46" s="276">
        <f t="shared" si="205"/>
        <v>0</v>
      </c>
      <c r="BC46" s="276">
        <f t="shared" si="205"/>
        <v>0</v>
      </c>
      <c r="BD46" s="276">
        <f t="shared" si="205"/>
        <v>0</v>
      </c>
      <c r="BE46" s="276">
        <f t="shared" si="205"/>
        <v>0</v>
      </c>
      <c r="BF46" s="276">
        <f t="shared" si="205"/>
        <v>0</v>
      </c>
      <c r="BG46" s="276">
        <f t="shared" si="205"/>
        <v>0</v>
      </c>
      <c r="BH46" s="276">
        <f t="shared" si="205"/>
        <v>0</v>
      </c>
      <c r="BI46" s="276">
        <f t="shared" si="205"/>
        <v>0</v>
      </c>
      <c r="BJ46" s="345">
        <f t="shared" si="205"/>
        <v>0</v>
      </c>
      <c r="BK46" s="279">
        <f>SUM(AY46:BJ46)</f>
        <v>0</v>
      </c>
    </row>
    <row r="47" spans="1:63" s="250" customFormat="1" ht="17.25" customHeight="1">
      <c r="A47" s="207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61"/>
      <c r="M47" s="161"/>
      <c r="N47" s="161"/>
      <c r="O47" s="106"/>
      <c r="P47" s="106"/>
      <c r="Q47" s="106"/>
      <c r="R47" s="106"/>
      <c r="S47" s="106"/>
      <c r="T47" s="73"/>
      <c r="U47" s="161"/>
      <c r="V47" s="161"/>
      <c r="W47" s="161"/>
      <c r="X47" s="161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</row>
    <row r="48" spans="1:63" s="250" customFormat="1" ht="15" customHeight="1">
      <c r="A48" s="457"/>
      <c r="B48" s="457"/>
      <c r="C48" s="457"/>
      <c r="D48" s="407"/>
      <c r="E48" s="407"/>
      <c r="F48" s="407"/>
      <c r="G48" s="407"/>
      <c r="H48" s="407"/>
      <c r="J48" s="161"/>
      <c r="K48" s="161"/>
      <c r="L48" s="161"/>
      <c r="M48" s="161"/>
      <c r="N48" s="161"/>
      <c r="O48" s="106"/>
      <c r="P48" s="106"/>
      <c r="Q48" s="106"/>
      <c r="R48" s="106"/>
      <c r="S48" s="106"/>
      <c r="T48" s="161"/>
      <c r="U48" s="161"/>
      <c r="V48" s="161"/>
      <c r="W48" s="161"/>
      <c r="X48" s="161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ht="13.2">
      <c r="A49" s="175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06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06"/>
    </row>
    <row r="50" spans="1:63" ht="13.2">
      <c r="A50" s="198"/>
      <c r="B50" s="106"/>
      <c r="C50" s="161"/>
      <c r="D50" s="106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06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06"/>
    </row>
    <row r="51" spans="1:63" ht="13.2">
      <c r="A51" s="198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</row>
    <row r="52" spans="1:63" s="250" customFormat="1" ht="15" customHeight="1">
      <c r="A52" s="207"/>
      <c r="B52" s="442"/>
      <c r="C52" s="442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06"/>
      <c r="P52" s="106"/>
      <c r="Q52" s="106"/>
      <c r="R52" s="106"/>
      <c r="S52" s="106"/>
      <c r="T52" s="161"/>
      <c r="U52" s="161"/>
      <c r="V52" s="161"/>
      <c r="W52" s="161"/>
      <c r="X52" s="161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</row>
    <row r="53" spans="1:63" ht="13.2">
      <c r="A53" s="175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</row>
    <row r="54" spans="1:63" ht="13.2">
      <c r="A54" s="198"/>
      <c r="B54" s="106"/>
      <c r="C54" s="161"/>
      <c r="D54" s="106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</row>
    <row r="55" spans="1:63" ht="13.2">
      <c r="A55" s="198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</row>
    <row r="56" spans="1:63" ht="13.2">
      <c r="A56" s="198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</row>
    <row r="57" spans="1:63" ht="13.2">
      <c r="A57" s="198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</row>
    <row r="58" spans="1:63" ht="13.2">
      <c r="A58" s="198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</row>
    <row r="59" spans="1:63" ht="13.2">
      <c r="A59" s="198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</row>
    <row r="60" spans="1:63" ht="13.2">
      <c r="A60" s="198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</row>
    <row r="61" spans="1:63" ht="13.2">
      <c r="A61" s="198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</row>
    <row r="62" spans="1:63" ht="13.2">
      <c r="A62" s="198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</row>
    <row r="63" spans="1:63" ht="13.2">
      <c r="A63" s="19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</row>
    <row r="64" spans="1:63" ht="13.2">
      <c r="A64" s="19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</row>
    <row r="65" spans="1:63" ht="13.2">
      <c r="A65" s="198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</row>
    <row r="66" spans="1:63" ht="13.2">
      <c r="A66" s="198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</row>
    <row r="67" spans="1:63" ht="13.2">
      <c r="A67" s="198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</row>
    <row r="68" spans="1:63" ht="13.2">
      <c r="A68" s="198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</row>
    <row r="69" spans="1:63" ht="13.2">
      <c r="A69" s="198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</row>
    <row r="70" spans="1:63" ht="13.2">
      <c r="A70" s="198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</row>
    <row r="71" spans="1:63" ht="13.2">
      <c r="A71" s="198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</row>
    <row r="72" spans="1:63" ht="13.2">
      <c r="A72" s="198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</row>
    <row r="73" spans="1:63" ht="13.2">
      <c r="A73" s="198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</row>
    <row r="74" spans="1:63" ht="13.2">
      <c r="A74" s="198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</row>
    <row r="75" spans="1:63" ht="13.2">
      <c r="A75" s="19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</row>
    <row r="76" spans="1:63" ht="13.2">
      <c r="A76" s="198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</row>
    <row r="77" spans="1:63" ht="13.2">
      <c r="A77" s="198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O77" s="106"/>
      <c r="P77" s="106"/>
      <c r="Q77" s="106"/>
      <c r="R77" s="106"/>
      <c r="S77" s="106"/>
      <c r="T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</row>
  </sheetData>
  <mergeCells count="8">
    <mergeCell ref="A15:C15"/>
    <mergeCell ref="B52:C52"/>
    <mergeCell ref="A1:M1"/>
    <mergeCell ref="A2:A4"/>
    <mergeCell ref="B2:B4"/>
    <mergeCell ref="C2:C4"/>
    <mergeCell ref="A12:C12"/>
    <mergeCell ref="A48:C48"/>
  </mergeCells>
  <phoneticPr fontId="0" type="noConversion"/>
  <pageMargins left="0.31496062992125984" right="0.31496062992125984" top="0.74803149606299213" bottom="0.35433070866141736" header="0.31496062992125984" footer="0.31496062992125984"/>
  <pageSetup paperSize="9" scale="7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33"/>
  </sheetPr>
  <dimension ref="A1:BK77"/>
  <sheetViews>
    <sheetView workbookViewId="0">
      <selection activeCell="AK6" sqref="AK6"/>
    </sheetView>
  </sheetViews>
  <sheetFormatPr defaultColWidth="9.109375" defaultRowHeight="12.75" customHeight="1"/>
  <cols>
    <col min="1" max="1" width="42.6640625" style="110" customWidth="1"/>
    <col min="2" max="2" width="6.6640625" style="250" customWidth="1"/>
    <col min="3" max="3" width="12.109375" style="250" customWidth="1"/>
    <col min="4" max="4" width="12.6640625" style="250" hidden="1" customWidth="1"/>
    <col min="5" max="5" width="11.33203125" style="250" hidden="1" customWidth="1"/>
    <col min="6" max="6" width="12.109375" style="250" hidden="1" customWidth="1"/>
    <col min="7" max="7" width="12.44140625" style="250" hidden="1" customWidth="1"/>
    <col min="8" max="8" width="12.109375" style="250" hidden="1" customWidth="1"/>
    <col min="9" max="9" width="10.5546875" style="250" hidden="1" customWidth="1"/>
    <col min="10" max="10" width="11.6640625" style="250" hidden="1" customWidth="1"/>
    <col min="11" max="11" width="11.6640625" style="250" customWidth="1"/>
    <col min="12" max="12" width="10.6640625" style="250" hidden="1" customWidth="1"/>
    <col min="13" max="13" width="12.44140625" style="250" hidden="1" customWidth="1"/>
    <col min="14" max="14" width="10.88671875" style="250" hidden="1" customWidth="1"/>
    <col min="15" max="15" width="11" style="194" hidden="1" customWidth="1"/>
    <col min="16" max="16" width="10.6640625" style="194" hidden="1" customWidth="1"/>
    <col min="17" max="17" width="11" style="194" hidden="1" customWidth="1"/>
    <col min="18" max="18" width="10.6640625" style="194" hidden="1" customWidth="1"/>
    <col min="19" max="19" width="10.88671875" style="194" hidden="1" customWidth="1"/>
    <col min="20" max="20" width="13.109375" style="250" hidden="1" customWidth="1"/>
    <col min="21" max="21" width="12" style="250" hidden="1" customWidth="1"/>
    <col min="22" max="22" width="10.5546875" style="250" hidden="1" customWidth="1"/>
    <col min="23" max="23" width="12" style="250" hidden="1" customWidth="1"/>
    <col min="24" max="24" width="12" style="250" customWidth="1"/>
    <col min="25" max="25" width="10.6640625" style="194" hidden="1" customWidth="1"/>
    <col min="26" max="26" width="12.109375" style="194" hidden="1" customWidth="1"/>
    <col min="27" max="27" width="10.5546875" style="194" hidden="1" customWidth="1"/>
    <col min="28" max="28" width="10.6640625" style="194" hidden="1" customWidth="1"/>
    <col min="29" max="29" width="10.33203125" style="194" hidden="1" customWidth="1"/>
    <col min="30" max="31" width="10.6640625" style="194" hidden="1" customWidth="1"/>
    <col min="32" max="32" width="11.33203125" style="194" hidden="1" customWidth="1"/>
    <col min="33" max="33" width="13.33203125" style="194" hidden="1" customWidth="1"/>
    <col min="34" max="34" width="12.33203125" style="194" hidden="1" customWidth="1"/>
    <col min="35" max="35" width="10.88671875" style="194" hidden="1" customWidth="1"/>
    <col min="36" max="36" width="12.33203125" style="194" hidden="1" customWidth="1"/>
    <col min="37" max="37" width="12.33203125" style="194" customWidth="1"/>
    <col min="38" max="38" width="10.44140625" style="194" hidden="1" customWidth="1"/>
    <col min="39" max="39" width="11.88671875" style="194" hidden="1" customWidth="1"/>
    <col min="40" max="40" width="10.6640625" style="194" hidden="1" customWidth="1"/>
    <col min="41" max="41" width="11.44140625" style="194" hidden="1" customWidth="1"/>
    <col min="42" max="42" width="10.6640625" style="194" hidden="1" customWidth="1"/>
    <col min="43" max="43" width="10.5546875" style="194" hidden="1" customWidth="1"/>
    <col min="44" max="44" width="10.6640625" style="194" hidden="1" customWidth="1"/>
    <col min="45" max="45" width="10.88671875" style="194" hidden="1" customWidth="1"/>
    <col min="46" max="47" width="12.33203125" style="194" hidden="1" customWidth="1"/>
    <col min="48" max="48" width="10.6640625" style="194" hidden="1" customWidth="1"/>
    <col min="49" max="49" width="12.109375" style="194" hidden="1" customWidth="1"/>
    <col min="50" max="50" width="12.44140625" style="194" customWidth="1"/>
    <col min="51" max="51" width="10.44140625" style="194" hidden="1" customWidth="1"/>
    <col min="52" max="52" width="11.88671875" style="194" hidden="1" customWidth="1"/>
    <col min="53" max="53" width="10.6640625" style="194" hidden="1" customWidth="1"/>
    <col min="54" max="54" width="11.44140625" style="194" hidden="1" customWidth="1"/>
    <col min="55" max="55" width="10.6640625" style="194" hidden="1" customWidth="1"/>
    <col min="56" max="56" width="10.5546875" style="194" hidden="1" customWidth="1"/>
    <col min="57" max="57" width="10.6640625" style="194" hidden="1" customWidth="1"/>
    <col min="58" max="58" width="10.88671875" style="194" hidden="1" customWidth="1"/>
    <col min="59" max="60" width="12.33203125" style="194" hidden="1" customWidth="1"/>
    <col min="61" max="61" width="10.6640625" style="194" hidden="1" customWidth="1"/>
    <col min="62" max="62" width="12.109375" style="194" hidden="1" customWidth="1"/>
    <col min="63" max="63" width="12.44140625" style="194" customWidth="1"/>
    <col min="65" max="65" width="10" bestFit="1" customWidth="1"/>
  </cols>
  <sheetData>
    <row r="1" spans="1:63" ht="29.25" customHeight="1" thickBot="1">
      <c r="A1" s="443" t="s">
        <v>41</v>
      </c>
      <c r="B1" s="443"/>
      <c r="C1" s="443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398"/>
      <c r="O1" s="399"/>
      <c r="P1" s="399"/>
      <c r="Q1" s="399"/>
      <c r="R1" s="399"/>
      <c r="S1" s="399"/>
      <c r="T1" s="398"/>
      <c r="U1" s="398"/>
      <c r="V1" s="398"/>
      <c r="W1" s="398"/>
      <c r="X1" s="76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</row>
    <row r="2" spans="1:63" ht="18" customHeight="1">
      <c r="A2" s="445" t="s">
        <v>42</v>
      </c>
      <c r="B2" s="448" t="s">
        <v>43</v>
      </c>
      <c r="C2" s="451" t="s">
        <v>44</v>
      </c>
      <c r="D2" s="309">
        <v>0</v>
      </c>
      <c r="E2" s="393">
        <f t="shared" ref="E2:J2" si="0">D2+1</f>
        <v>1</v>
      </c>
      <c r="F2" s="394">
        <f t="shared" si="0"/>
        <v>2</v>
      </c>
      <c r="G2" s="394">
        <f t="shared" si="0"/>
        <v>3</v>
      </c>
      <c r="H2" s="394">
        <f t="shared" si="0"/>
        <v>4</v>
      </c>
      <c r="I2" s="394">
        <f t="shared" si="0"/>
        <v>5</v>
      </c>
      <c r="J2" s="395">
        <f t="shared" si="0"/>
        <v>6</v>
      </c>
      <c r="K2" s="396"/>
      <c r="L2" s="400">
        <f>J2+1</f>
        <v>7</v>
      </c>
      <c r="M2" s="394">
        <f t="shared" ref="M2:W2" si="1">L2+1</f>
        <v>8</v>
      </c>
      <c r="N2" s="118">
        <f t="shared" si="1"/>
        <v>9</v>
      </c>
      <c r="O2" s="118">
        <f t="shared" si="1"/>
        <v>10</v>
      </c>
      <c r="P2" s="118">
        <f t="shared" si="1"/>
        <v>11</v>
      </c>
      <c r="Q2" s="118">
        <f t="shared" si="1"/>
        <v>12</v>
      </c>
      <c r="R2" s="118">
        <f t="shared" si="1"/>
        <v>13</v>
      </c>
      <c r="S2" s="118">
        <f t="shared" si="1"/>
        <v>14</v>
      </c>
      <c r="T2" s="118">
        <f t="shared" si="1"/>
        <v>15</v>
      </c>
      <c r="U2" s="118">
        <f t="shared" si="1"/>
        <v>16</v>
      </c>
      <c r="V2" s="118">
        <f t="shared" si="1"/>
        <v>17</v>
      </c>
      <c r="W2" s="401">
        <f t="shared" si="1"/>
        <v>18</v>
      </c>
      <c r="X2" s="31"/>
      <c r="Y2" s="92">
        <f>W2+1</f>
        <v>19</v>
      </c>
      <c r="Z2" s="118">
        <f t="shared" ref="Z2:AJ2" si="2">Y2+1</f>
        <v>20</v>
      </c>
      <c r="AA2" s="118">
        <f t="shared" si="2"/>
        <v>21</v>
      </c>
      <c r="AB2" s="118">
        <f t="shared" si="2"/>
        <v>22</v>
      </c>
      <c r="AC2" s="118">
        <f t="shared" si="2"/>
        <v>23</v>
      </c>
      <c r="AD2" s="118">
        <f t="shared" si="2"/>
        <v>24</v>
      </c>
      <c r="AE2" s="118">
        <f t="shared" si="2"/>
        <v>25</v>
      </c>
      <c r="AF2" s="118">
        <f t="shared" si="2"/>
        <v>26</v>
      </c>
      <c r="AG2" s="118">
        <f t="shared" si="2"/>
        <v>27</v>
      </c>
      <c r="AH2" s="118">
        <f t="shared" si="2"/>
        <v>28</v>
      </c>
      <c r="AI2" s="118">
        <f t="shared" si="2"/>
        <v>29</v>
      </c>
      <c r="AJ2" s="332">
        <f t="shared" si="2"/>
        <v>30</v>
      </c>
      <c r="AK2" s="31"/>
      <c r="AL2" s="92">
        <f>AJ2+1</f>
        <v>31</v>
      </c>
      <c r="AM2" s="118">
        <f>AL2+1</f>
        <v>32</v>
      </c>
      <c r="AN2" s="118">
        <f>AM2+1</f>
        <v>33</v>
      </c>
      <c r="AO2" s="118">
        <f>AN2+1</f>
        <v>34</v>
      </c>
      <c r="AP2" s="118">
        <f>AO2+1</f>
        <v>35</v>
      </c>
      <c r="AQ2" s="362">
        <v>36</v>
      </c>
      <c r="AR2" s="362">
        <v>37</v>
      </c>
      <c r="AS2" s="362">
        <v>38</v>
      </c>
      <c r="AT2" s="362">
        <v>39</v>
      </c>
      <c r="AU2" s="362">
        <v>40</v>
      </c>
      <c r="AV2" s="362">
        <v>41</v>
      </c>
      <c r="AW2" s="332">
        <v>42</v>
      </c>
      <c r="AX2" s="31"/>
      <c r="AY2" s="92">
        <f>AW2+1</f>
        <v>43</v>
      </c>
      <c r="AZ2" s="118">
        <f>AY2+1</f>
        <v>44</v>
      </c>
      <c r="BA2" s="118">
        <f t="shared" ref="BA2:BJ2" si="3">AZ2+1</f>
        <v>45</v>
      </c>
      <c r="BB2" s="118">
        <f t="shared" si="3"/>
        <v>46</v>
      </c>
      <c r="BC2" s="118">
        <f t="shared" si="3"/>
        <v>47</v>
      </c>
      <c r="BD2" s="118">
        <f t="shared" si="3"/>
        <v>48</v>
      </c>
      <c r="BE2" s="118">
        <f t="shared" si="3"/>
        <v>49</v>
      </c>
      <c r="BF2" s="118">
        <f t="shared" si="3"/>
        <v>50</v>
      </c>
      <c r="BG2" s="118">
        <f t="shared" si="3"/>
        <v>51</v>
      </c>
      <c r="BH2" s="118">
        <f t="shared" si="3"/>
        <v>52</v>
      </c>
      <c r="BI2" s="118">
        <f t="shared" si="3"/>
        <v>53</v>
      </c>
      <c r="BJ2" s="118">
        <f t="shared" si="3"/>
        <v>54</v>
      </c>
      <c r="BK2" s="31"/>
    </row>
    <row r="3" spans="1:63" ht="3.75" customHeight="1">
      <c r="A3" s="446"/>
      <c r="B3" s="449"/>
      <c r="C3" s="452"/>
      <c r="D3" s="310"/>
      <c r="E3" s="296"/>
      <c r="F3" s="144"/>
      <c r="G3" s="144"/>
      <c r="H3" s="144"/>
      <c r="I3" s="144"/>
      <c r="J3" s="77"/>
      <c r="K3" s="109"/>
      <c r="L3" s="149"/>
      <c r="M3" s="144"/>
      <c r="N3" s="144"/>
      <c r="O3" s="21"/>
      <c r="P3" s="21"/>
      <c r="Q3" s="83"/>
      <c r="R3" s="45"/>
      <c r="S3" s="21"/>
      <c r="T3" s="144"/>
      <c r="U3" s="144"/>
      <c r="V3" s="144"/>
      <c r="W3" s="77"/>
      <c r="X3" s="109"/>
      <c r="Y3" s="45"/>
      <c r="Z3" s="21"/>
      <c r="AA3" s="21"/>
      <c r="AB3" s="21"/>
      <c r="AC3" s="235"/>
      <c r="AD3" s="238"/>
      <c r="AE3" s="238"/>
      <c r="AF3" s="238"/>
      <c r="AG3" s="238"/>
      <c r="AH3" s="238"/>
      <c r="AI3" s="238"/>
      <c r="AJ3" s="333"/>
      <c r="AK3" s="220"/>
      <c r="AL3" s="170"/>
      <c r="AM3" s="238"/>
      <c r="AN3" s="238"/>
      <c r="AO3" s="238"/>
      <c r="AP3" s="238"/>
      <c r="AQ3" s="363"/>
      <c r="AR3" s="363"/>
      <c r="AS3" s="363"/>
      <c r="AT3" s="363"/>
      <c r="AU3" s="363"/>
      <c r="AV3" s="363"/>
      <c r="AW3" s="333"/>
      <c r="AX3" s="220"/>
      <c r="AY3" s="170"/>
      <c r="AZ3" s="238"/>
      <c r="BA3" s="238"/>
      <c r="BB3" s="238"/>
      <c r="BC3" s="238"/>
      <c r="BD3" s="363"/>
      <c r="BE3" s="363"/>
      <c r="BF3" s="363"/>
      <c r="BG3" s="363"/>
      <c r="BH3" s="363"/>
      <c r="BI3" s="363"/>
      <c r="BJ3" s="333"/>
      <c r="BK3" s="220"/>
    </row>
    <row r="4" spans="1:63" ht="14.25" customHeight="1">
      <c r="A4" s="447"/>
      <c r="B4" s="450"/>
      <c r="C4" s="453"/>
      <c r="D4" s="311">
        <v>41426</v>
      </c>
      <c r="E4" s="297">
        <v>41456</v>
      </c>
      <c r="F4" s="160">
        <v>41487</v>
      </c>
      <c r="G4" s="160">
        <v>41518</v>
      </c>
      <c r="H4" s="160">
        <v>41548</v>
      </c>
      <c r="I4" s="160">
        <v>41579</v>
      </c>
      <c r="J4" s="121">
        <v>41609</v>
      </c>
      <c r="K4" s="16" t="s">
        <v>45</v>
      </c>
      <c r="L4" s="42">
        <v>41640</v>
      </c>
      <c r="M4" s="160">
        <v>41671</v>
      </c>
      <c r="N4" s="160">
        <v>41699</v>
      </c>
      <c r="O4" s="160">
        <v>41730</v>
      </c>
      <c r="P4" s="160">
        <v>41760</v>
      </c>
      <c r="Q4" s="160">
        <v>41791</v>
      </c>
      <c r="R4" s="160">
        <v>41821</v>
      </c>
      <c r="S4" s="160">
        <v>41852</v>
      </c>
      <c r="T4" s="160">
        <v>41883</v>
      </c>
      <c r="U4" s="160">
        <v>41913</v>
      </c>
      <c r="V4" s="160">
        <v>41944</v>
      </c>
      <c r="W4" s="121">
        <v>41974</v>
      </c>
      <c r="X4" s="16" t="s">
        <v>46</v>
      </c>
      <c r="Y4" s="42">
        <v>42005</v>
      </c>
      <c r="Z4" s="160">
        <v>42036</v>
      </c>
      <c r="AA4" s="160">
        <v>42064</v>
      </c>
      <c r="AB4" s="160">
        <v>42095</v>
      </c>
      <c r="AC4" s="160">
        <v>42125</v>
      </c>
      <c r="AD4" s="160">
        <v>42156</v>
      </c>
      <c r="AE4" s="160">
        <v>42186</v>
      </c>
      <c r="AF4" s="160">
        <v>42217</v>
      </c>
      <c r="AG4" s="160">
        <v>42248</v>
      </c>
      <c r="AH4" s="160">
        <v>42278</v>
      </c>
      <c r="AI4" s="160">
        <v>42309</v>
      </c>
      <c r="AJ4" s="334">
        <v>42339</v>
      </c>
      <c r="AK4" s="16" t="s">
        <v>47</v>
      </c>
      <c r="AL4" s="42">
        <v>42370</v>
      </c>
      <c r="AM4" s="160">
        <v>42401</v>
      </c>
      <c r="AN4" s="160">
        <v>42430</v>
      </c>
      <c r="AO4" s="160">
        <v>42461</v>
      </c>
      <c r="AP4" s="160">
        <v>42491</v>
      </c>
      <c r="AQ4" s="334">
        <v>42522</v>
      </c>
      <c r="AR4" s="334">
        <v>42552</v>
      </c>
      <c r="AS4" s="334">
        <v>42583</v>
      </c>
      <c r="AT4" s="334">
        <v>42614</v>
      </c>
      <c r="AU4" s="334">
        <v>42644</v>
      </c>
      <c r="AV4" s="334">
        <v>42675</v>
      </c>
      <c r="AW4" s="334">
        <v>42705</v>
      </c>
      <c r="AX4" s="91" t="s">
        <v>48</v>
      </c>
      <c r="AY4" s="42">
        <v>42736</v>
      </c>
      <c r="AZ4" s="160">
        <v>42767</v>
      </c>
      <c r="BA4" s="160">
        <v>42795</v>
      </c>
      <c r="BB4" s="160">
        <v>42826</v>
      </c>
      <c r="BC4" s="160">
        <v>42856</v>
      </c>
      <c r="BD4" s="334">
        <v>42887</v>
      </c>
      <c r="BE4" s="334">
        <v>42917</v>
      </c>
      <c r="BF4" s="334">
        <v>42948</v>
      </c>
      <c r="BG4" s="334">
        <v>42979</v>
      </c>
      <c r="BH4" s="334">
        <v>43009</v>
      </c>
      <c r="BI4" s="334">
        <v>43040</v>
      </c>
      <c r="BJ4" s="334">
        <v>43070</v>
      </c>
      <c r="BK4" s="391" t="s">
        <v>236</v>
      </c>
    </row>
    <row r="5" spans="1:63" s="195" customFormat="1" ht="16.5" customHeight="1">
      <c r="A5" s="150" t="s">
        <v>49</v>
      </c>
      <c r="B5" s="237"/>
      <c r="C5" s="285"/>
      <c r="D5" s="312"/>
      <c r="E5" s="298"/>
      <c r="F5" s="237"/>
      <c r="G5" s="237"/>
      <c r="H5" s="237"/>
      <c r="I5" s="237"/>
      <c r="J5" s="119"/>
      <c r="K5" s="46"/>
      <c r="L5" s="34"/>
      <c r="M5" s="237"/>
      <c r="N5" s="237"/>
      <c r="O5" s="174"/>
      <c r="P5" s="174"/>
      <c r="Q5" s="174"/>
      <c r="R5" s="174"/>
      <c r="S5" s="174"/>
      <c r="T5" s="237"/>
      <c r="U5" s="237"/>
      <c r="V5" s="237"/>
      <c r="W5" s="119"/>
      <c r="X5" s="46"/>
      <c r="Y5" s="22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335"/>
      <c r="AK5" s="165"/>
      <c r="AL5" s="22"/>
      <c r="AM5" s="174"/>
      <c r="AN5" s="174"/>
      <c r="AO5" s="174"/>
      <c r="AP5" s="174"/>
      <c r="AQ5" s="364"/>
      <c r="AR5" s="364"/>
      <c r="AS5" s="364"/>
      <c r="AT5" s="364"/>
      <c r="AU5" s="364"/>
      <c r="AV5" s="364"/>
      <c r="AW5" s="335"/>
      <c r="AX5" s="101"/>
      <c r="AY5" s="22"/>
      <c r="AZ5" s="174"/>
      <c r="BA5" s="174"/>
      <c r="BB5" s="174"/>
      <c r="BC5" s="174"/>
      <c r="BD5" s="364"/>
      <c r="BE5" s="364"/>
      <c r="BF5" s="364"/>
      <c r="BG5" s="364"/>
      <c r="BH5" s="364"/>
      <c r="BI5" s="364"/>
      <c r="BJ5" s="335"/>
      <c r="BK5" s="101"/>
    </row>
    <row r="6" spans="1:63" s="195" customFormat="1" ht="17.25" customHeight="1">
      <c r="A6" s="179" t="s">
        <v>50</v>
      </c>
      <c r="B6" s="169" t="s">
        <v>51</v>
      </c>
      <c r="C6" s="286">
        <f>((K6+X6)+AK6)+AX6+BK6</f>
        <v>1920</v>
      </c>
      <c r="D6" s="313">
        <v>0</v>
      </c>
      <c r="E6" s="299">
        <v>2</v>
      </c>
      <c r="F6" s="55">
        <v>4</v>
      </c>
      <c r="G6" s="55">
        <v>8</v>
      </c>
      <c r="H6" s="55">
        <v>10</v>
      </c>
      <c r="I6" s="55">
        <v>12</v>
      </c>
      <c r="J6" s="64">
        <v>12</v>
      </c>
      <c r="K6" s="154">
        <f>SUM(D6:J6)</f>
        <v>48</v>
      </c>
      <c r="L6" s="139">
        <v>12</v>
      </c>
      <c r="M6" s="55">
        <v>12</v>
      </c>
      <c r="N6" s="55">
        <v>18</v>
      </c>
      <c r="O6" s="55">
        <v>18</v>
      </c>
      <c r="P6" s="55">
        <v>18</v>
      </c>
      <c r="Q6" s="55">
        <v>18</v>
      </c>
      <c r="R6" s="55">
        <v>18</v>
      </c>
      <c r="S6" s="55">
        <v>18</v>
      </c>
      <c r="T6" s="55">
        <v>20</v>
      </c>
      <c r="U6" s="55">
        <v>24</v>
      </c>
      <c r="V6" s="55">
        <v>24</v>
      </c>
      <c r="W6" s="64">
        <v>24</v>
      </c>
      <c r="X6" s="154">
        <f>SUM(L6:W6)</f>
        <v>224</v>
      </c>
      <c r="Y6" s="139">
        <v>24</v>
      </c>
      <c r="Z6" s="55">
        <v>24</v>
      </c>
      <c r="AA6" s="55">
        <v>32</v>
      </c>
      <c r="AB6" s="55">
        <v>36</v>
      </c>
      <c r="AC6" s="55">
        <v>36</v>
      </c>
      <c r="AD6" s="55">
        <v>36</v>
      </c>
      <c r="AE6" s="55">
        <v>36</v>
      </c>
      <c r="AF6" s="55">
        <v>36</v>
      </c>
      <c r="AG6" s="55">
        <v>36</v>
      </c>
      <c r="AH6" s="55">
        <v>36</v>
      </c>
      <c r="AI6" s="55">
        <v>36</v>
      </c>
      <c r="AJ6" s="336">
        <v>36</v>
      </c>
      <c r="AK6" s="154">
        <f>SUM(Y6:AJ6)</f>
        <v>404</v>
      </c>
      <c r="AL6" s="139">
        <v>36</v>
      </c>
      <c r="AM6" s="55">
        <v>36</v>
      </c>
      <c r="AN6" s="55">
        <v>44</v>
      </c>
      <c r="AO6" s="55">
        <v>48</v>
      </c>
      <c r="AP6" s="55">
        <v>48</v>
      </c>
      <c r="AQ6" s="55">
        <v>48</v>
      </c>
      <c r="AR6" s="55">
        <v>48</v>
      </c>
      <c r="AS6" s="55">
        <v>48</v>
      </c>
      <c r="AT6" s="55">
        <v>48</v>
      </c>
      <c r="AU6" s="55">
        <v>48</v>
      </c>
      <c r="AV6" s="55">
        <v>48</v>
      </c>
      <c r="AW6" s="336">
        <v>48</v>
      </c>
      <c r="AX6" s="245">
        <f>SUM(AL6:AW6)</f>
        <v>548</v>
      </c>
      <c r="AY6" s="139">
        <v>48</v>
      </c>
      <c r="AZ6" s="55">
        <v>48</v>
      </c>
      <c r="BA6" s="55">
        <v>60</v>
      </c>
      <c r="BB6" s="55">
        <v>60</v>
      </c>
      <c r="BC6" s="55">
        <v>60</v>
      </c>
      <c r="BD6" s="55">
        <v>60</v>
      </c>
      <c r="BE6" s="55">
        <v>60</v>
      </c>
      <c r="BF6" s="55">
        <v>60</v>
      </c>
      <c r="BG6" s="55">
        <v>60</v>
      </c>
      <c r="BH6" s="55">
        <v>60</v>
      </c>
      <c r="BI6" s="55">
        <v>60</v>
      </c>
      <c r="BJ6" s="336">
        <v>60</v>
      </c>
      <c r="BK6" s="245">
        <f>SUM(AY6:BJ6)</f>
        <v>696</v>
      </c>
    </row>
    <row r="7" spans="1:63" s="195" customFormat="1" ht="17.25" customHeight="1">
      <c r="A7" s="179" t="s">
        <v>52</v>
      </c>
      <c r="B7" s="169"/>
      <c r="C7" s="286">
        <f>BK7</f>
        <v>10</v>
      </c>
      <c r="D7" s="313">
        <v>2</v>
      </c>
      <c r="E7" s="299">
        <v>2</v>
      </c>
      <c r="F7" s="55">
        <v>2</v>
      </c>
      <c r="G7" s="55">
        <v>2</v>
      </c>
      <c r="H7" s="55">
        <v>2</v>
      </c>
      <c r="I7" s="55">
        <v>2</v>
      </c>
      <c r="J7" s="64">
        <v>2</v>
      </c>
      <c r="K7" s="154">
        <f>J7</f>
        <v>2</v>
      </c>
      <c r="L7" s="139">
        <v>2</v>
      </c>
      <c r="M7" s="55">
        <v>3</v>
      </c>
      <c r="N7" s="55">
        <v>3</v>
      </c>
      <c r="O7" s="55">
        <v>3</v>
      </c>
      <c r="P7" s="55">
        <v>3</v>
      </c>
      <c r="Q7" s="55">
        <v>3</v>
      </c>
      <c r="R7" s="55">
        <v>3</v>
      </c>
      <c r="S7" s="55">
        <v>4</v>
      </c>
      <c r="T7" s="55">
        <v>4</v>
      </c>
      <c r="U7" s="55">
        <v>4</v>
      </c>
      <c r="V7" s="55">
        <v>4</v>
      </c>
      <c r="W7" s="64">
        <v>4</v>
      </c>
      <c r="X7" s="154">
        <f>W7</f>
        <v>4</v>
      </c>
      <c r="Y7" s="139">
        <v>4</v>
      </c>
      <c r="Z7" s="55">
        <v>6</v>
      </c>
      <c r="AA7" s="55">
        <v>6</v>
      </c>
      <c r="AB7" s="55">
        <v>6</v>
      </c>
      <c r="AC7" s="55">
        <v>6</v>
      </c>
      <c r="AD7" s="55">
        <v>6</v>
      </c>
      <c r="AE7" s="55">
        <v>6</v>
      </c>
      <c r="AF7" s="55">
        <v>6</v>
      </c>
      <c r="AG7" s="55">
        <v>6</v>
      </c>
      <c r="AH7" s="55">
        <v>6</v>
      </c>
      <c r="AI7" s="55">
        <v>6</v>
      </c>
      <c r="AJ7" s="336">
        <v>6</v>
      </c>
      <c r="AK7" s="154">
        <f>AJ7</f>
        <v>6</v>
      </c>
      <c r="AL7" s="139">
        <v>6</v>
      </c>
      <c r="AM7" s="55">
        <v>8</v>
      </c>
      <c r="AN7" s="55">
        <v>8</v>
      </c>
      <c r="AO7" s="55">
        <v>8</v>
      </c>
      <c r="AP7" s="55">
        <v>8</v>
      </c>
      <c r="AQ7" s="55">
        <v>8</v>
      </c>
      <c r="AR7" s="55">
        <v>8</v>
      </c>
      <c r="AS7" s="55">
        <v>8</v>
      </c>
      <c r="AT7" s="55">
        <v>8</v>
      </c>
      <c r="AU7" s="55">
        <v>8</v>
      </c>
      <c r="AV7" s="55">
        <v>8</v>
      </c>
      <c r="AW7" s="336">
        <v>8</v>
      </c>
      <c r="AX7" s="245">
        <f>AW7</f>
        <v>8</v>
      </c>
      <c r="AY7" s="139">
        <v>8</v>
      </c>
      <c r="AZ7" s="55">
        <v>10</v>
      </c>
      <c r="BA7" s="55">
        <v>10</v>
      </c>
      <c r="BB7" s="55">
        <v>8</v>
      </c>
      <c r="BC7" s="55">
        <v>10</v>
      </c>
      <c r="BD7" s="55">
        <v>10</v>
      </c>
      <c r="BE7" s="55">
        <v>10</v>
      </c>
      <c r="BF7" s="55">
        <v>10</v>
      </c>
      <c r="BG7" s="55">
        <v>10</v>
      </c>
      <c r="BH7" s="55">
        <v>10</v>
      </c>
      <c r="BI7" s="55">
        <v>10</v>
      </c>
      <c r="BJ7" s="336">
        <v>10</v>
      </c>
      <c r="BK7" s="245">
        <f>BJ7</f>
        <v>10</v>
      </c>
    </row>
    <row r="8" spans="1:63" s="195" customFormat="1" ht="17.25" customHeight="1">
      <c r="A8" s="179" t="s">
        <v>53</v>
      </c>
      <c r="B8" s="169"/>
      <c r="C8" s="286">
        <f>((K8+X8)+AK8)+AX8+BK8</f>
        <v>10</v>
      </c>
      <c r="D8" s="313">
        <v>2</v>
      </c>
      <c r="E8" s="299"/>
      <c r="F8" s="55"/>
      <c r="G8" s="55"/>
      <c r="H8" s="55"/>
      <c r="I8" s="55"/>
      <c r="J8" s="64"/>
      <c r="K8" s="154">
        <f>SUM(D8:J8)</f>
        <v>2</v>
      </c>
      <c r="L8" s="139">
        <v>1</v>
      </c>
      <c r="M8" s="55"/>
      <c r="N8" s="55"/>
      <c r="O8" s="55"/>
      <c r="P8" s="55"/>
      <c r="Q8" s="55"/>
      <c r="R8" s="55">
        <v>1</v>
      </c>
      <c r="S8" s="55">
        <v>0</v>
      </c>
      <c r="T8" s="55"/>
      <c r="U8" s="55"/>
      <c r="V8" s="55"/>
      <c r="W8" s="64"/>
      <c r="X8" s="154">
        <f>SUM(L8:W8)</f>
        <v>2</v>
      </c>
      <c r="Y8" s="139">
        <v>2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336"/>
      <c r="AK8" s="154">
        <f>SUM(Y8:AJ8)</f>
        <v>2</v>
      </c>
      <c r="AL8" s="139">
        <v>2</v>
      </c>
      <c r="AM8" s="55"/>
      <c r="AN8" s="55"/>
      <c r="AO8" s="55"/>
      <c r="AP8" s="55"/>
      <c r="AQ8" s="286"/>
      <c r="AR8" s="286"/>
      <c r="AS8" s="286"/>
      <c r="AT8" s="286"/>
      <c r="AU8" s="286"/>
      <c r="AV8" s="286"/>
      <c r="AW8" s="336"/>
      <c r="AX8" s="245">
        <f>SUM(AL8:AW8)</f>
        <v>2</v>
      </c>
      <c r="AY8" s="139">
        <v>2</v>
      </c>
      <c r="AZ8" s="55"/>
      <c r="BA8" s="55"/>
      <c r="BB8" s="55"/>
      <c r="BC8" s="55"/>
      <c r="BD8" s="286"/>
      <c r="BE8" s="286"/>
      <c r="BF8" s="286"/>
      <c r="BG8" s="286"/>
      <c r="BH8" s="286"/>
      <c r="BI8" s="286"/>
      <c r="BJ8" s="336"/>
      <c r="BK8" s="245">
        <f>SUM(AY8:BJ8)</f>
        <v>2</v>
      </c>
    </row>
    <row r="9" spans="1:63" s="195" customFormat="1" ht="17.25" customHeight="1">
      <c r="A9" s="179" t="s">
        <v>54</v>
      </c>
      <c r="B9" s="169"/>
      <c r="C9" s="286">
        <f>((K9+X9)+AK9)+AX9+BK9</f>
        <v>5</v>
      </c>
      <c r="D9" s="313">
        <v>1</v>
      </c>
      <c r="E9" s="299"/>
      <c r="F9" s="55"/>
      <c r="G9" s="55"/>
      <c r="H9" s="55"/>
      <c r="I9" s="55"/>
      <c r="J9" s="64"/>
      <c r="K9" s="154">
        <f>SUM(D9:J9)</f>
        <v>1</v>
      </c>
      <c r="L9" s="139">
        <v>0</v>
      </c>
      <c r="M9" s="55">
        <v>1</v>
      </c>
      <c r="N9" s="55"/>
      <c r="O9" s="55"/>
      <c r="P9" s="55"/>
      <c r="Q9" s="55"/>
      <c r="R9" s="55">
        <v>0</v>
      </c>
      <c r="S9" s="55"/>
      <c r="T9" s="55"/>
      <c r="U9" s="55"/>
      <c r="V9" s="55"/>
      <c r="W9" s="64"/>
      <c r="X9" s="154">
        <f>SUM(L9:W9)</f>
        <v>1</v>
      </c>
      <c r="Y9" s="139"/>
      <c r="Z9" s="55">
        <v>1</v>
      </c>
      <c r="AA9" s="55"/>
      <c r="AB9" s="55"/>
      <c r="AC9" s="55"/>
      <c r="AD9" s="55"/>
      <c r="AE9" s="55"/>
      <c r="AF9" s="55"/>
      <c r="AG9" s="55"/>
      <c r="AH9" s="55"/>
      <c r="AI9" s="55"/>
      <c r="AJ9" s="336"/>
      <c r="AK9" s="154">
        <f>SUM(Y9:AJ9)</f>
        <v>1</v>
      </c>
      <c r="AL9" s="139"/>
      <c r="AM9" s="55">
        <v>1</v>
      </c>
      <c r="AN9" s="55"/>
      <c r="AO9" s="55"/>
      <c r="AP9" s="55"/>
      <c r="AQ9" s="286"/>
      <c r="AR9" s="286"/>
      <c r="AS9" s="286"/>
      <c r="AT9" s="286"/>
      <c r="AU9" s="286"/>
      <c r="AV9" s="286"/>
      <c r="AW9" s="336"/>
      <c r="AX9" s="245">
        <f>SUM(AL9:AW9)</f>
        <v>1</v>
      </c>
      <c r="AY9" s="139"/>
      <c r="AZ9" s="55">
        <v>1</v>
      </c>
      <c r="BA9" s="55"/>
      <c r="BB9" s="55"/>
      <c r="BC9" s="55"/>
      <c r="BD9" s="286"/>
      <c r="BE9" s="286"/>
      <c r="BF9" s="286"/>
      <c r="BG9" s="286"/>
      <c r="BH9" s="286"/>
      <c r="BI9" s="286"/>
      <c r="BJ9" s="336"/>
      <c r="BK9" s="245">
        <f>SUM(AY9:BJ9)</f>
        <v>1</v>
      </c>
    </row>
    <row r="10" spans="1:63" s="195" customFormat="1" ht="17.25" customHeight="1">
      <c r="A10" s="179" t="s">
        <v>55</v>
      </c>
      <c r="B10" s="169"/>
      <c r="C10" s="286">
        <f>((K10+X10)+AK10)+AX10+BK10</f>
        <v>10</v>
      </c>
      <c r="D10" s="313">
        <v>0</v>
      </c>
      <c r="E10" s="299"/>
      <c r="F10" s="55"/>
      <c r="G10" s="55"/>
      <c r="H10" s="55"/>
      <c r="I10" s="55"/>
      <c r="J10" s="64"/>
      <c r="K10" s="154">
        <f>SUM(D10:J10)</f>
        <v>0</v>
      </c>
      <c r="L10" s="139">
        <v>1</v>
      </c>
      <c r="M10" s="55"/>
      <c r="N10" s="55"/>
      <c r="O10" s="55"/>
      <c r="P10" s="55"/>
      <c r="Q10" s="55"/>
      <c r="R10" s="55">
        <v>2</v>
      </c>
      <c r="S10" s="55"/>
      <c r="T10" s="55"/>
      <c r="U10" s="55"/>
      <c r="V10" s="55"/>
      <c r="W10" s="64"/>
      <c r="X10" s="154">
        <f>SUM(L10:W10)</f>
        <v>3</v>
      </c>
      <c r="Y10" s="139">
        <v>3</v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336"/>
      <c r="AK10" s="154">
        <f>SUM(Y10:AJ10)</f>
        <v>3</v>
      </c>
      <c r="AL10" s="139">
        <v>2</v>
      </c>
      <c r="AM10" s="55"/>
      <c r="AN10" s="55"/>
      <c r="AO10" s="55"/>
      <c r="AP10" s="55"/>
      <c r="AQ10" s="286"/>
      <c r="AR10" s="286"/>
      <c r="AS10" s="286"/>
      <c r="AT10" s="286"/>
      <c r="AU10" s="286"/>
      <c r="AV10" s="286"/>
      <c r="AW10" s="336"/>
      <c r="AX10" s="245">
        <f>SUM(AL10:AW10)</f>
        <v>2</v>
      </c>
      <c r="AY10" s="139">
        <v>2</v>
      </c>
      <c r="AZ10" s="55"/>
      <c r="BA10" s="55"/>
      <c r="BB10" s="55"/>
      <c r="BC10" s="55"/>
      <c r="BD10" s="286"/>
      <c r="BE10" s="286"/>
      <c r="BF10" s="286"/>
      <c r="BG10" s="286"/>
      <c r="BH10" s="286"/>
      <c r="BI10" s="286"/>
      <c r="BJ10" s="336"/>
      <c r="BK10" s="245">
        <f>SUM(AY10:BJ10)</f>
        <v>2</v>
      </c>
    </row>
    <row r="11" spans="1:63" s="195" customFormat="1" ht="17.25" customHeight="1">
      <c r="A11" s="52" t="s">
        <v>56</v>
      </c>
      <c r="B11" s="169"/>
      <c r="C11" s="286"/>
      <c r="D11" s="313"/>
      <c r="E11" s="299">
        <v>2</v>
      </c>
      <c r="F11" s="55">
        <v>4</v>
      </c>
      <c r="G11" s="55">
        <v>8</v>
      </c>
      <c r="H11" s="55">
        <v>10</v>
      </c>
      <c r="I11" s="55">
        <v>12</v>
      </c>
      <c r="J11" s="64">
        <v>12</v>
      </c>
      <c r="K11" s="154">
        <f>SUM(D11:J11)</f>
        <v>48</v>
      </c>
      <c r="L11" s="139">
        <v>12</v>
      </c>
      <c r="M11" s="55">
        <v>12</v>
      </c>
      <c r="N11" s="55">
        <v>12</v>
      </c>
      <c r="O11" s="55">
        <v>12</v>
      </c>
      <c r="P11" s="55">
        <v>12</v>
      </c>
      <c r="Q11" s="55">
        <v>12</v>
      </c>
      <c r="R11" s="55">
        <v>12</v>
      </c>
      <c r="S11" s="55">
        <v>12</v>
      </c>
      <c r="T11" s="55">
        <v>6</v>
      </c>
      <c r="U11" s="55">
        <v>6</v>
      </c>
      <c r="V11" s="55">
        <v>6</v>
      </c>
      <c r="W11" s="64">
        <v>6</v>
      </c>
      <c r="X11" s="154">
        <f>SUM(L11:W11)</f>
        <v>120</v>
      </c>
      <c r="Y11" s="139">
        <v>6</v>
      </c>
      <c r="Z11" s="55">
        <v>6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336">
        <v>0</v>
      </c>
      <c r="AK11" s="154">
        <f>SUM(Y11:AJ11)</f>
        <v>12</v>
      </c>
      <c r="AL11" s="139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336">
        <v>0</v>
      </c>
      <c r="AX11" s="245">
        <f>SUM(AL11:AW11)</f>
        <v>0</v>
      </c>
      <c r="AY11" s="139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336">
        <v>0</v>
      </c>
      <c r="BK11" s="245">
        <f>SUM(AY11:BJ11)</f>
        <v>0</v>
      </c>
    </row>
    <row r="12" spans="1:63" s="195" customFormat="1" ht="18.75" customHeight="1">
      <c r="A12" s="454" t="s">
        <v>57</v>
      </c>
      <c r="B12" s="455"/>
      <c r="C12" s="456"/>
      <c r="D12" s="314"/>
      <c r="E12" s="300"/>
      <c r="F12" s="65"/>
      <c r="G12" s="65"/>
      <c r="H12" s="65"/>
      <c r="I12" s="65"/>
      <c r="J12" s="209"/>
      <c r="K12" s="154"/>
      <c r="L12" s="53"/>
      <c r="M12" s="65"/>
      <c r="N12" s="65"/>
      <c r="O12" s="203"/>
      <c r="P12" s="203"/>
      <c r="Q12" s="203"/>
      <c r="R12" s="203"/>
      <c r="S12" s="203"/>
      <c r="T12" s="65"/>
      <c r="U12" s="65"/>
      <c r="V12" s="65"/>
      <c r="W12" s="209"/>
      <c r="X12" s="154"/>
      <c r="Y12" s="49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337"/>
      <c r="AK12" s="75"/>
      <c r="AL12" s="49"/>
      <c r="AM12" s="203"/>
      <c r="AN12" s="203"/>
      <c r="AO12" s="203"/>
      <c r="AP12" s="203"/>
      <c r="AQ12" s="365"/>
      <c r="AR12" s="365"/>
      <c r="AS12" s="365"/>
      <c r="AT12" s="365"/>
      <c r="AU12" s="365"/>
      <c r="AV12" s="365"/>
      <c r="AW12" s="337"/>
      <c r="AX12" s="101"/>
      <c r="AY12" s="49"/>
      <c r="AZ12" s="203"/>
      <c r="BA12" s="203"/>
      <c r="BB12" s="203"/>
      <c r="BC12" s="203"/>
      <c r="BD12" s="365"/>
      <c r="BE12" s="365"/>
      <c r="BF12" s="365"/>
      <c r="BG12" s="365"/>
      <c r="BH12" s="365"/>
      <c r="BI12" s="365"/>
      <c r="BJ12" s="337"/>
      <c r="BK12" s="101"/>
    </row>
    <row r="13" spans="1:63" ht="17.25" customHeight="1">
      <c r="A13" s="179" t="s">
        <v>58</v>
      </c>
      <c r="B13" s="169" t="s">
        <v>16</v>
      </c>
      <c r="C13" s="286">
        <f>((K13+X13)+AK13)+AX13+BK13</f>
        <v>672000000</v>
      </c>
      <c r="D13" s="313">
        <v>0</v>
      </c>
      <c r="E13" s="299">
        <f>E6*'Исходные данные'!$C$7</f>
        <v>700000</v>
      </c>
      <c r="F13" s="55">
        <f>F6*'Исходные данные'!$C$7</f>
        <v>1400000</v>
      </c>
      <c r="G13" s="55">
        <f>G6*'Исходные данные'!$C$7</f>
        <v>2800000</v>
      </c>
      <c r="H13" s="55">
        <f>H6*'Исходные данные'!$C$7</f>
        <v>3500000</v>
      </c>
      <c r="I13" s="55">
        <f>I6*'Исходные данные'!$C$7</f>
        <v>4200000</v>
      </c>
      <c r="J13" s="64">
        <f>J6*'Исходные данные'!$C$7</f>
        <v>4200000</v>
      </c>
      <c r="K13" s="154">
        <f>SUM(D13:J13)</f>
        <v>16800000</v>
      </c>
      <c r="L13" s="326">
        <f>L6*'Исходные данные'!$C$7</f>
        <v>4200000</v>
      </c>
      <c r="M13" s="330">
        <f>M6*'Исходные данные'!$C$7</f>
        <v>4200000</v>
      </c>
      <c r="N13" s="330">
        <f>N6*'Исходные данные'!$C$7</f>
        <v>6300000</v>
      </c>
      <c r="O13" s="330">
        <f>O6*'Исходные данные'!$C$7</f>
        <v>6300000</v>
      </c>
      <c r="P13" s="330">
        <f>P6*'Исходные данные'!$C$7</f>
        <v>6300000</v>
      </c>
      <c r="Q13" s="330">
        <f>Q6*'Исходные данные'!$C$7</f>
        <v>6300000</v>
      </c>
      <c r="R13" s="330">
        <f>R6*'Исходные данные'!$C$7</f>
        <v>6300000</v>
      </c>
      <c r="S13" s="330">
        <f>S6*'Исходные данные'!$C$7</f>
        <v>6300000</v>
      </c>
      <c r="T13" s="330">
        <f>T6*'Исходные данные'!$C$7</f>
        <v>7000000</v>
      </c>
      <c r="U13" s="330">
        <f>U6*'Исходные данные'!$C$7</f>
        <v>8400000</v>
      </c>
      <c r="V13" s="330">
        <f>V6*'Исходные данные'!$C$7</f>
        <v>8400000</v>
      </c>
      <c r="W13" s="402">
        <f>W6*'Исходные данные'!$C$7</f>
        <v>8400000</v>
      </c>
      <c r="X13" s="154">
        <f>SUM(L13:W13)</f>
        <v>78400000</v>
      </c>
      <c r="Y13" s="326">
        <f>Y6*'Исходные данные'!$C$7</f>
        <v>8400000</v>
      </c>
      <c r="Z13" s="330">
        <f>Z6*'Исходные данные'!$C$7</f>
        <v>8400000</v>
      </c>
      <c r="AA13" s="330">
        <f>AA6*'Исходные данные'!$C$7</f>
        <v>11200000</v>
      </c>
      <c r="AB13" s="330">
        <f>AB6*'Исходные данные'!$C$7</f>
        <v>12600000</v>
      </c>
      <c r="AC13" s="330">
        <f>AC6*'Исходные данные'!$C$7</f>
        <v>12600000</v>
      </c>
      <c r="AD13" s="330">
        <f>AD6*'Исходные данные'!$C$7</f>
        <v>12600000</v>
      </c>
      <c r="AE13" s="330">
        <f>AE6*'Исходные данные'!$C$7</f>
        <v>12600000</v>
      </c>
      <c r="AF13" s="330">
        <f>AF6*'Исходные данные'!$C$7</f>
        <v>12600000</v>
      </c>
      <c r="AG13" s="330">
        <f>AG6*'Исходные данные'!$C$7</f>
        <v>12600000</v>
      </c>
      <c r="AH13" s="330">
        <f>AH6*'Исходные данные'!$C$7</f>
        <v>12600000</v>
      </c>
      <c r="AI13" s="330">
        <f>AI6*'Исходные данные'!$C$7</f>
        <v>12600000</v>
      </c>
      <c r="AJ13" s="338">
        <f>AJ6*'Исходные данные'!$C$7</f>
        <v>12600000</v>
      </c>
      <c r="AK13" s="154">
        <f>SUM(Y13:AJ13)</f>
        <v>141400000</v>
      </c>
      <c r="AL13" s="326">
        <f>AL6*'Исходные данные'!$C$7</f>
        <v>12600000</v>
      </c>
      <c r="AM13" s="330">
        <f>AM6*'Исходные данные'!$C$7</f>
        <v>12600000</v>
      </c>
      <c r="AN13" s="330">
        <f>AN6*'Исходные данные'!$C$7</f>
        <v>15400000</v>
      </c>
      <c r="AO13" s="330">
        <f>AO6*'Исходные данные'!$C$7</f>
        <v>16800000</v>
      </c>
      <c r="AP13" s="330">
        <f>AP6*'Исходные данные'!$C$7</f>
        <v>16800000</v>
      </c>
      <c r="AQ13" s="330">
        <f>AQ6*'Исходные данные'!$C$7</f>
        <v>16800000</v>
      </c>
      <c r="AR13" s="330">
        <f>AR6*'Исходные данные'!$C$7</f>
        <v>16800000</v>
      </c>
      <c r="AS13" s="330">
        <f>AS6*'Исходные данные'!$C$7</f>
        <v>16800000</v>
      </c>
      <c r="AT13" s="330">
        <f>AT6*'Исходные данные'!$C$7</f>
        <v>16800000</v>
      </c>
      <c r="AU13" s="330">
        <f>AU6*'Исходные данные'!$C$7</f>
        <v>16800000</v>
      </c>
      <c r="AV13" s="330">
        <f>AV6*'Исходные данные'!$C$7</f>
        <v>16800000</v>
      </c>
      <c r="AW13" s="338">
        <f>AW6*'Исходные данные'!$C$7</f>
        <v>16800000</v>
      </c>
      <c r="AX13" s="245">
        <f>SUM(AL13:AW13)</f>
        <v>191800000</v>
      </c>
      <c r="AY13" s="326">
        <f>AY6*'Исходные данные'!$C$7</f>
        <v>16800000</v>
      </c>
      <c r="AZ13" s="330">
        <f>AZ6*'Исходные данные'!$C$7</f>
        <v>16800000</v>
      </c>
      <c r="BA13" s="330">
        <f>BA6*'Исходные данные'!$C$7</f>
        <v>21000000</v>
      </c>
      <c r="BB13" s="330">
        <f>BB6*'Исходные данные'!$C$7</f>
        <v>21000000</v>
      </c>
      <c r="BC13" s="330">
        <f>BC6*'Исходные данные'!$C$7</f>
        <v>21000000</v>
      </c>
      <c r="BD13" s="330">
        <f>BD6*'Исходные данные'!$C$7</f>
        <v>21000000</v>
      </c>
      <c r="BE13" s="330">
        <f>BE6*'Исходные данные'!$C$7</f>
        <v>21000000</v>
      </c>
      <c r="BF13" s="330">
        <f>BF6*'Исходные данные'!$C$7</f>
        <v>21000000</v>
      </c>
      <c r="BG13" s="330">
        <f>BG6*'Исходные данные'!$C$7</f>
        <v>21000000</v>
      </c>
      <c r="BH13" s="330">
        <f>BH6*'Исходные данные'!$C$7</f>
        <v>21000000</v>
      </c>
      <c r="BI13" s="330">
        <f>BI6*'Исходные данные'!$C$7</f>
        <v>21000000</v>
      </c>
      <c r="BJ13" s="338">
        <f>BJ6*'Исходные данные'!$C$7</f>
        <v>21000000</v>
      </c>
      <c r="BK13" s="245">
        <f>SUM(AY13:BJ13)</f>
        <v>243600000</v>
      </c>
    </row>
    <row r="14" spans="1:63" s="194" customFormat="1" ht="13.5" customHeight="1">
      <c r="A14" s="72" t="s">
        <v>59</v>
      </c>
      <c r="B14" s="204"/>
      <c r="C14" s="287">
        <f>((K14+X14)+AK14)+AX14+BK14</f>
        <v>672000000</v>
      </c>
      <c r="D14" s="314">
        <f t="shared" ref="D14:J14" si="4">D13</f>
        <v>0</v>
      </c>
      <c r="E14" s="300">
        <f t="shared" si="4"/>
        <v>700000</v>
      </c>
      <c r="F14" s="65">
        <f t="shared" si="4"/>
        <v>1400000</v>
      </c>
      <c r="G14" s="65">
        <f t="shared" si="4"/>
        <v>2800000</v>
      </c>
      <c r="H14" s="65">
        <f t="shared" si="4"/>
        <v>3500000</v>
      </c>
      <c r="I14" s="65">
        <f t="shared" si="4"/>
        <v>4200000</v>
      </c>
      <c r="J14" s="209">
        <f t="shared" si="4"/>
        <v>4200000</v>
      </c>
      <c r="K14" s="154">
        <f>SUM(D14:J14)</f>
        <v>16800000</v>
      </c>
      <c r="L14" s="53">
        <f t="shared" ref="L14:W14" si="5">L13</f>
        <v>4200000</v>
      </c>
      <c r="M14" s="65">
        <f t="shared" si="5"/>
        <v>4200000</v>
      </c>
      <c r="N14" s="65">
        <f t="shared" si="5"/>
        <v>6300000</v>
      </c>
      <c r="O14" s="65">
        <f t="shared" si="5"/>
        <v>6300000</v>
      </c>
      <c r="P14" s="65">
        <f t="shared" si="5"/>
        <v>6300000</v>
      </c>
      <c r="Q14" s="65">
        <f t="shared" si="5"/>
        <v>6300000</v>
      </c>
      <c r="R14" s="65">
        <f t="shared" si="5"/>
        <v>6300000</v>
      </c>
      <c r="S14" s="65">
        <f t="shared" si="5"/>
        <v>6300000</v>
      </c>
      <c r="T14" s="65">
        <f t="shared" si="5"/>
        <v>7000000</v>
      </c>
      <c r="U14" s="65">
        <f t="shared" si="5"/>
        <v>8400000</v>
      </c>
      <c r="V14" s="65">
        <f t="shared" si="5"/>
        <v>8400000</v>
      </c>
      <c r="W14" s="209">
        <f t="shared" si="5"/>
        <v>8400000</v>
      </c>
      <c r="X14" s="154">
        <f>SUM(L14:W14)</f>
        <v>78400000</v>
      </c>
      <c r="Y14" s="53">
        <f t="shared" ref="Y14:AJ14" si="6">Y13</f>
        <v>8400000</v>
      </c>
      <c r="Z14" s="65">
        <f t="shared" si="6"/>
        <v>8400000</v>
      </c>
      <c r="AA14" s="65">
        <f t="shared" si="6"/>
        <v>11200000</v>
      </c>
      <c r="AB14" s="65">
        <f t="shared" si="6"/>
        <v>12600000</v>
      </c>
      <c r="AC14" s="65">
        <f t="shared" si="6"/>
        <v>12600000</v>
      </c>
      <c r="AD14" s="65">
        <f t="shared" si="6"/>
        <v>12600000</v>
      </c>
      <c r="AE14" s="65">
        <f t="shared" si="6"/>
        <v>12600000</v>
      </c>
      <c r="AF14" s="65">
        <f t="shared" si="6"/>
        <v>12600000</v>
      </c>
      <c r="AG14" s="65">
        <f t="shared" si="6"/>
        <v>12600000</v>
      </c>
      <c r="AH14" s="65">
        <f t="shared" si="6"/>
        <v>12600000</v>
      </c>
      <c r="AI14" s="65">
        <f t="shared" si="6"/>
        <v>12600000</v>
      </c>
      <c r="AJ14" s="339">
        <f t="shared" si="6"/>
        <v>12600000</v>
      </c>
      <c r="AK14" s="154">
        <f>SUM(Y14:AJ14)</f>
        <v>141400000</v>
      </c>
      <c r="AL14" s="53">
        <f t="shared" ref="AL14:AW14" si="7">AL13</f>
        <v>12600000</v>
      </c>
      <c r="AM14" s="65">
        <f t="shared" si="7"/>
        <v>12600000</v>
      </c>
      <c r="AN14" s="65">
        <f t="shared" si="7"/>
        <v>15400000</v>
      </c>
      <c r="AO14" s="65">
        <f t="shared" si="7"/>
        <v>16800000</v>
      </c>
      <c r="AP14" s="65">
        <f t="shared" si="7"/>
        <v>16800000</v>
      </c>
      <c r="AQ14" s="65">
        <f t="shared" si="7"/>
        <v>16800000</v>
      </c>
      <c r="AR14" s="65">
        <f t="shared" si="7"/>
        <v>16800000</v>
      </c>
      <c r="AS14" s="65">
        <f t="shared" si="7"/>
        <v>16800000</v>
      </c>
      <c r="AT14" s="65">
        <f t="shared" si="7"/>
        <v>16800000</v>
      </c>
      <c r="AU14" s="65">
        <f t="shared" si="7"/>
        <v>16800000</v>
      </c>
      <c r="AV14" s="65">
        <f t="shared" si="7"/>
        <v>16800000</v>
      </c>
      <c r="AW14" s="339">
        <f t="shared" si="7"/>
        <v>16800000</v>
      </c>
      <c r="AX14" s="245">
        <f>SUM(AL14:AW14)</f>
        <v>191800000</v>
      </c>
      <c r="AY14" s="53">
        <f t="shared" ref="AY14:BJ14" si="8">AY13</f>
        <v>16800000</v>
      </c>
      <c r="AZ14" s="65">
        <f t="shared" si="8"/>
        <v>16800000</v>
      </c>
      <c r="BA14" s="65">
        <f t="shared" si="8"/>
        <v>21000000</v>
      </c>
      <c r="BB14" s="65">
        <f t="shared" si="8"/>
        <v>21000000</v>
      </c>
      <c r="BC14" s="65">
        <f t="shared" si="8"/>
        <v>21000000</v>
      </c>
      <c r="BD14" s="65">
        <f t="shared" si="8"/>
        <v>21000000</v>
      </c>
      <c r="BE14" s="65">
        <f t="shared" si="8"/>
        <v>21000000</v>
      </c>
      <c r="BF14" s="65">
        <f t="shared" si="8"/>
        <v>21000000</v>
      </c>
      <c r="BG14" s="65">
        <f t="shared" si="8"/>
        <v>21000000</v>
      </c>
      <c r="BH14" s="65">
        <f t="shared" si="8"/>
        <v>21000000</v>
      </c>
      <c r="BI14" s="65">
        <f t="shared" si="8"/>
        <v>21000000</v>
      </c>
      <c r="BJ14" s="339">
        <f t="shared" si="8"/>
        <v>21000000</v>
      </c>
      <c r="BK14" s="245">
        <f>SUM(AY14:BJ14)</f>
        <v>243600000</v>
      </c>
    </row>
    <row r="15" spans="1:63" ht="19.5" customHeight="1">
      <c r="A15" s="439" t="s">
        <v>60</v>
      </c>
      <c r="B15" s="440"/>
      <c r="C15" s="441"/>
      <c r="D15" s="315"/>
      <c r="E15" s="301"/>
      <c r="F15" s="123"/>
      <c r="G15" s="123"/>
      <c r="H15" s="123"/>
      <c r="I15" s="123"/>
      <c r="J15" s="57"/>
      <c r="K15" s="154"/>
      <c r="L15" s="244"/>
      <c r="M15" s="130"/>
      <c r="N15" s="130"/>
      <c r="O15" s="222"/>
      <c r="P15" s="222"/>
      <c r="Q15" s="222"/>
      <c r="R15" s="222"/>
      <c r="S15" s="222"/>
      <c r="T15" s="123"/>
      <c r="U15" s="130"/>
      <c r="V15" s="130"/>
      <c r="W15" s="403"/>
      <c r="X15" s="208"/>
      <c r="Y15" s="20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40"/>
      <c r="AK15" s="84"/>
      <c r="AL15" s="20"/>
      <c r="AM15" s="222"/>
      <c r="AN15" s="222"/>
      <c r="AO15" s="222"/>
      <c r="AP15" s="222"/>
      <c r="AQ15" s="366"/>
      <c r="AR15" s="366"/>
      <c r="AS15" s="366"/>
      <c r="AT15" s="366"/>
      <c r="AU15" s="366"/>
      <c r="AV15" s="366"/>
      <c r="AW15" s="340"/>
      <c r="AX15" s="220"/>
      <c r="AY15" s="20"/>
      <c r="AZ15" s="222"/>
      <c r="BA15" s="222"/>
      <c r="BB15" s="222"/>
      <c r="BC15" s="222"/>
      <c r="BD15" s="366"/>
      <c r="BE15" s="366"/>
      <c r="BF15" s="366"/>
      <c r="BG15" s="366"/>
      <c r="BH15" s="366"/>
      <c r="BI15" s="366"/>
      <c r="BJ15" s="340"/>
      <c r="BK15" s="220"/>
    </row>
    <row r="16" spans="1:63" s="194" customFormat="1" ht="13.2">
      <c r="A16" s="153" t="s">
        <v>61</v>
      </c>
      <c r="B16" s="169" t="s">
        <v>16</v>
      </c>
      <c r="C16" s="286"/>
      <c r="D16" s="313">
        <f>База!G40/1.18</f>
        <v>1436440.6779661018</v>
      </c>
      <c r="E16" s="299">
        <f>((Оборудование!$E$14/1.18)*$D$8)+$D$16</f>
        <v>5199152.5423728814</v>
      </c>
      <c r="F16" s="55">
        <f>((Оборудование!$E$14/1.18)*$D$8)+$D$16</f>
        <v>5199152.5423728814</v>
      </c>
      <c r="G16" s="55">
        <f>((Оборудование!$E$14/1.18)*$D$8)+$D$16</f>
        <v>5199152.5423728814</v>
      </c>
      <c r="H16" s="55">
        <f>((Оборудование!$E$14/1.18)*$D$8)+$D$16</f>
        <v>5199152.5423728814</v>
      </c>
      <c r="I16" s="55">
        <f>((Оборудование!$E$14/1.18)*$D$8)+$D$16</f>
        <v>5199152.5423728814</v>
      </c>
      <c r="J16" s="64">
        <f>((Оборудование!$E$14/1.18)*$D$8)+$D$16</f>
        <v>5199152.5423728814</v>
      </c>
      <c r="K16" s="154"/>
      <c r="L16" s="139">
        <f>((Оборудование!$E$14/1.18)*$D$8)+$D$16</f>
        <v>5199152.5423728814</v>
      </c>
      <c r="M16" s="55">
        <f>((Оборудование!$E$14/1.18)*$D$8)+$D$16</f>
        <v>5199152.5423728814</v>
      </c>
      <c r="N16" s="55">
        <f>$J$16+((Оборудование!$E$14/1.18)*Расчёты!$L$8)</f>
        <v>7080508.4745762711</v>
      </c>
      <c r="O16" s="55">
        <f>$J$16+((Оборудование!$E$14/1.18)*Расчёты!$L$8)</f>
        <v>7080508.4745762711</v>
      </c>
      <c r="P16" s="55">
        <f>$J$16+((Оборудование!$E$14/1.18)*Расчёты!$L$8)</f>
        <v>7080508.4745762711</v>
      </c>
      <c r="Q16" s="55">
        <f>$J$16+((Оборудование!$E$14/1.18)*Расчёты!$L$8)</f>
        <v>7080508.4745762711</v>
      </c>
      <c r="R16" s="55">
        <f>$J$16+((Оборудование!$E$14/1.18)*Расчёты!$L$8)</f>
        <v>7080508.4745762711</v>
      </c>
      <c r="S16" s="55">
        <f>$J$16+((Оборудование!$E$14/1.18)*Расчёты!$L$8)</f>
        <v>7080508.4745762711</v>
      </c>
      <c r="T16" s="55">
        <f>$S$16+((Оборудование!$E$14/1.18)*Расчёты!$R$8)</f>
        <v>8961864.4067796618</v>
      </c>
      <c r="U16" s="55">
        <f>$S$16+((Оборудование!$E$14/1.18)*Расчёты!$R$8)</f>
        <v>8961864.4067796618</v>
      </c>
      <c r="V16" s="55">
        <f>$S$16+((Оборудование!$E$14/1.18)*Расчёты!$R$8)</f>
        <v>8961864.4067796618</v>
      </c>
      <c r="W16" s="404">
        <f>$S$16+((Оборудование!$E$14/1.18)*Расчёты!$R$8)</f>
        <v>8961864.4067796618</v>
      </c>
      <c r="X16" s="346"/>
      <c r="Y16" s="139">
        <f>$S$16+((Оборудование!$E$14/1.18)*Расчёты!$R$8)</f>
        <v>8961864.4067796618</v>
      </c>
      <c r="Z16" s="55">
        <f>$S$16+((Оборудование!$E$14/1.18)*Расчёты!$R$8)</f>
        <v>8961864.4067796618</v>
      </c>
      <c r="AA16" s="55">
        <f>$Z$16+((Оборудование!$E$14/1.18)*Расчёты!$Y$8)</f>
        <v>12724576.271186441</v>
      </c>
      <c r="AB16" s="55">
        <f>$Z$16+((Оборудование!$E$14/1.18)*Расчёты!$Y$8)</f>
        <v>12724576.271186441</v>
      </c>
      <c r="AC16" s="55">
        <f>$Z$16+((Оборудование!$E$14/1.18)*Расчёты!$Y$8)</f>
        <v>12724576.271186441</v>
      </c>
      <c r="AD16" s="55">
        <f>$Z$16+((Оборудование!$E$14/1.18)*Расчёты!$Y$8)</f>
        <v>12724576.271186441</v>
      </c>
      <c r="AE16" s="55">
        <f>$Z$16+((Оборудование!$E$14/1.18)*Расчёты!$Y$8)</f>
        <v>12724576.271186441</v>
      </c>
      <c r="AF16" s="55">
        <f>$Z$16+((Оборудование!$E$14/1.18)*Расчёты!$Y$8)</f>
        <v>12724576.271186441</v>
      </c>
      <c r="AG16" s="55">
        <f>$Z$16+((Оборудование!$E$14/1.18)*Расчёты!$Y$8)</f>
        <v>12724576.271186441</v>
      </c>
      <c r="AH16" s="55">
        <f>$Z$16+((Оборудование!$E$14/1.18)*Расчёты!$Y$8)</f>
        <v>12724576.271186441</v>
      </c>
      <c r="AI16" s="55">
        <f>$Z$16+((Оборудование!$E$14/1.18)*Расчёты!$Y$8)</f>
        <v>12724576.271186441</v>
      </c>
      <c r="AJ16" s="286">
        <f>$Z$16+((Оборудование!$E$14/1.18)*Расчёты!$Y$8)</f>
        <v>12724576.271186441</v>
      </c>
      <c r="AK16" s="346"/>
      <c r="AL16" s="139">
        <f>$Z$16+((Оборудование!$E$14/1.18)*Расчёты!$Y$8)</f>
        <v>12724576.271186441</v>
      </c>
      <c r="AM16" s="55">
        <f>$Z$16+((Оборудование!$E$14/1.18)*Расчёты!$Y$8)</f>
        <v>12724576.271186441</v>
      </c>
      <c r="AN16" s="55">
        <f>$AM$16+((Оборудование!$E$14/1.18)*Расчёты!$AL$8)</f>
        <v>16487288.135593221</v>
      </c>
      <c r="AO16" s="55">
        <f>$AM$16+((Оборудование!$E$14/1.18)*Расчёты!$AL$8)</f>
        <v>16487288.135593221</v>
      </c>
      <c r="AP16" s="55">
        <f>$AM$16+((Оборудование!$E$14/1.18)*Расчёты!$AL$8)</f>
        <v>16487288.135593221</v>
      </c>
      <c r="AQ16" s="55">
        <f>$AM$16+((Оборудование!$E$14/1.18)*Расчёты!$AL$8)</f>
        <v>16487288.135593221</v>
      </c>
      <c r="AR16" s="55">
        <f>$AM$16+((Оборудование!$E$14/1.18)*Расчёты!$AL$8)</f>
        <v>16487288.135593221</v>
      </c>
      <c r="AS16" s="55">
        <f>$AM$16+((Оборудование!$E$14/1.18)*Расчёты!$AL$8)</f>
        <v>16487288.135593221</v>
      </c>
      <c r="AT16" s="55">
        <f>$AM$16+((Оборудование!$E$14/1.18)*Расчёты!$AL$8)</f>
        <v>16487288.135593221</v>
      </c>
      <c r="AU16" s="55">
        <f>$AM$16+((Оборудование!$E$14/1.18)*Расчёты!$AL$8)</f>
        <v>16487288.135593221</v>
      </c>
      <c r="AV16" s="55">
        <f>$AM$16+((Оборудование!$E$14/1.18)*Расчёты!$AL$8)</f>
        <v>16487288.135593221</v>
      </c>
      <c r="AW16" s="286">
        <f>$AM$16+((Оборудование!$E$14/1.18)*Расчёты!$AL$8)</f>
        <v>16487288.135593221</v>
      </c>
      <c r="AX16" s="347"/>
      <c r="AY16" s="139">
        <f>$AW$16+((Оборудование!$E$14/1.18)*Расчёты!$Y$8)</f>
        <v>20250000</v>
      </c>
      <c r="AZ16" s="139">
        <f>$AW$16+((Оборудование!$E$14/1.18)*Расчёты!$Y$8)</f>
        <v>20250000</v>
      </c>
      <c r="BA16" s="139">
        <f>$AW$16+((Оборудование!$E$14/1.18)*Расчёты!$Y$8)</f>
        <v>20250000</v>
      </c>
      <c r="BB16" s="139">
        <f>$AW$16+((Оборудование!$E$14/1.18)*Расчёты!$Y$8)</f>
        <v>20250000</v>
      </c>
      <c r="BC16" s="139">
        <f>$AW$16+((Оборудование!$E$14/1.18)*Расчёты!$Y$8)</f>
        <v>20250000</v>
      </c>
      <c r="BD16" s="139">
        <f>$AW$16+((Оборудование!$E$14/1.18)*Расчёты!$Y$8)</f>
        <v>20250000</v>
      </c>
      <c r="BE16" s="139">
        <f>$AW$16+((Оборудование!$E$14/1.18)*Расчёты!$Y$8)</f>
        <v>20250000</v>
      </c>
      <c r="BF16" s="139">
        <f>$BE$16+((Оборудование!$E$14/1.18)*Расчёты!$Y$8)</f>
        <v>24012711.864406779</v>
      </c>
      <c r="BG16" s="139">
        <f>$BE$16+((Оборудование!$E$14/1.18)*Расчёты!$Y$8)</f>
        <v>24012711.864406779</v>
      </c>
      <c r="BH16" s="139">
        <f>$BE$16+((Оборудование!$E$14/1.18)*Расчёты!$Y$8)</f>
        <v>24012711.864406779</v>
      </c>
      <c r="BI16" s="139">
        <f>$BE$16+((Оборудование!$E$14/1.18)*Расчёты!$Y$8)</f>
        <v>24012711.864406779</v>
      </c>
      <c r="BJ16" s="139">
        <f>$BE$16+((Оборудование!$E$14/1.18)*Расчёты!$Y$8)</f>
        <v>24012711.864406779</v>
      </c>
      <c r="BK16" s="347"/>
    </row>
    <row r="17" spans="1:63" ht="15" customHeight="1">
      <c r="A17" s="179" t="s">
        <v>62</v>
      </c>
      <c r="B17" s="169" t="s">
        <v>16</v>
      </c>
      <c r="C17" s="286"/>
      <c r="D17" s="313"/>
      <c r="E17" s="299">
        <f>(Оборудование!E14/1.18)*Расчёты!D8</f>
        <v>3762711.8644067799</v>
      </c>
      <c r="F17" s="55">
        <f>E18</f>
        <v>3700000</v>
      </c>
      <c r="G17" s="55">
        <f>F18</f>
        <v>3613347.4576271186</v>
      </c>
      <c r="H17" s="55">
        <f>G18</f>
        <v>3526694.9152542371</v>
      </c>
      <c r="I17" s="55">
        <f>H18</f>
        <v>3440042.3728813557</v>
      </c>
      <c r="J17" s="64">
        <f>I18</f>
        <v>3353389.8305084743</v>
      </c>
      <c r="K17" s="154"/>
      <c r="L17" s="139">
        <f>J18</f>
        <v>3266737.2881355928</v>
      </c>
      <c r="M17" s="55">
        <f>L18</f>
        <v>3180084.7457627114</v>
      </c>
      <c r="N17" s="55">
        <f>M18</f>
        <v>3093432.20338983</v>
      </c>
      <c r="O17" s="55">
        <f>N18+((Оборудование!E14/1.18)*Расчёты!L8)</f>
        <v>4856779.6610169485</v>
      </c>
      <c r="P17" s="55">
        <f>O18</f>
        <v>4738771.1864406774</v>
      </c>
      <c r="Q17" s="55">
        <f>P18</f>
        <v>4620762.7118644062</v>
      </c>
      <c r="R17" s="55">
        <f>Q18</f>
        <v>4502754.2372881351</v>
      </c>
      <c r="S17" s="55">
        <f>R18</f>
        <v>4384745.762711864</v>
      </c>
      <c r="T17" s="55">
        <f>S18</f>
        <v>4266737.2881355928</v>
      </c>
      <c r="U17" s="55">
        <f>T18+((Оборудование!E14/1.18)*Расчёты!R8)</f>
        <v>5998728.8135593217</v>
      </c>
      <c r="V17" s="55">
        <f>U18</f>
        <v>5849364.4067796608</v>
      </c>
      <c r="W17" s="64">
        <f>V18</f>
        <v>5700000</v>
      </c>
      <c r="X17" s="154"/>
      <c r="Y17" s="139">
        <f>W18</f>
        <v>5550635.5932203392</v>
      </c>
      <c r="Z17" s="55">
        <f>Y18</f>
        <v>5401271.1864406783</v>
      </c>
      <c r="AA17" s="55">
        <f>Z18</f>
        <v>5251906.7796610175</v>
      </c>
      <c r="AB17" s="55">
        <f>AA18+((Оборудование!E14/1.18)*Расчёты!Y8)</f>
        <v>8802542.3728813566</v>
      </c>
      <c r="AC17" s="55">
        <f t="shared" ref="AC17:AJ17" si="9">AB18</f>
        <v>8590466.1016949154</v>
      </c>
      <c r="AD17" s="55">
        <f t="shared" si="9"/>
        <v>8378389.8305084743</v>
      </c>
      <c r="AE17" s="55">
        <f t="shared" si="9"/>
        <v>8166313.5593220331</v>
      </c>
      <c r="AF17" s="55">
        <f t="shared" si="9"/>
        <v>7954237.2881355919</v>
      </c>
      <c r="AG17" s="55">
        <f t="shared" si="9"/>
        <v>7742161.0169491507</v>
      </c>
      <c r="AH17" s="55">
        <f t="shared" si="9"/>
        <v>7530084.7457627095</v>
      </c>
      <c r="AI17" s="55">
        <f t="shared" si="9"/>
        <v>7318008.4745762683</v>
      </c>
      <c r="AJ17" s="336">
        <f t="shared" si="9"/>
        <v>7105932.2033898272</v>
      </c>
      <c r="AK17" s="154"/>
      <c r="AL17" s="139">
        <f>AJ18</f>
        <v>6893855.932203386</v>
      </c>
      <c r="AM17" s="55">
        <f>AL18</f>
        <v>6681779.6610169448</v>
      </c>
      <c r="AN17" s="55">
        <f>AM18</f>
        <v>6469703.3898305036</v>
      </c>
      <c r="AO17" s="55">
        <f>AN18+((Оборудование!E14/1.18)*Расчёты!AL8)</f>
        <v>9957627.1186440624</v>
      </c>
      <c r="AP17" s="55">
        <f>AO18</f>
        <v>9682838.9830508418</v>
      </c>
      <c r="AQ17" s="55">
        <f t="shared" ref="AQ17:AV17" si="10">AP18</f>
        <v>9408050.8474576212</v>
      </c>
      <c r="AR17" s="55">
        <f t="shared" si="10"/>
        <v>9133262.7118644007</v>
      </c>
      <c r="AS17" s="55">
        <f t="shared" si="10"/>
        <v>8858474.5762711801</v>
      </c>
      <c r="AT17" s="55">
        <f t="shared" si="10"/>
        <v>8583686.4406779595</v>
      </c>
      <c r="AU17" s="55">
        <f t="shared" si="10"/>
        <v>8308898.3050847389</v>
      </c>
      <c r="AV17" s="55">
        <f t="shared" si="10"/>
        <v>8034110.1694915183</v>
      </c>
      <c r="AW17" s="336">
        <f>AP18</f>
        <v>9408050.8474576212</v>
      </c>
      <c r="AX17" s="220"/>
      <c r="AY17" s="139">
        <f>AW18</f>
        <v>9133262.7118644007</v>
      </c>
      <c r="AZ17" s="55">
        <f>AY18</f>
        <v>8795762.7118644007</v>
      </c>
      <c r="BA17" s="55">
        <f>AZ18</f>
        <v>8458262.7118644007</v>
      </c>
      <c r="BB17" s="55">
        <f>BA18+((Оборудование!R14/1.18)*Расчёты!AY8)</f>
        <v>8120762.7118644007</v>
      </c>
      <c r="BC17" s="55">
        <f>BB18</f>
        <v>7783262.7118644007</v>
      </c>
      <c r="BD17" s="55">
        <f t="shared" ref="BD17:BI17" si="11">BC18</f>
        <v>7445762.7118644007</v>
      </c>
      <c r="BE17" s="55">
        <f t="shared" si="11"/>
        <v>7108262.7118644007</v>
      </c>
      <c r="BF17" s="55">
        <f t="shared" si="11"/>
        <v>6770762.7118644007</v>
      </c>
      <c r="BG17" s="55">
        <f t="shared" si="11"/>
        <v>6370550.8474576212</v>
      </c>
      <c r="BH17" s="55">
        <f t="shared" si="11"/>
        <v>5970338.9830508418</v>
      </c>
      <c r="BI17" s="55">
        <f t="shared" si="11"/>
        <v>5570127.1186440624</v>
      </c>
      <c r="BJ17" s="336">
        <f>BC18</f>
        <v>7445762.7118644007</v>
      </c>
      <c r="BK17" s="220"/>
    </row>
    <row r="18" spans="1:63" ht="14.25" customHeight="1">
      <c r="A18" s="81" t="s">
        <v>63</v>
      </c>
      <c r="B18" s="169" t="s">
        <v>16</v>
      </c>
      <c r="C18" s="286"/>
      <c r="D18" s="313"/>
      <c r="E18" s="299">
        <f t="shared" ref="E18:J18" si="12">E17-E19</f>
        <v>3700000</v>
      </c>
      <c r="F18" s="55">
        <f t="shared" si="12"/>
        <v>3613347.4576271186</v>
      </c>
      <c r="G18" s="55">
        <f t="shared" si="12"/>
        <v>3526694.9152542371</v>
      </c>
      <c r="H18" s="55">
        <f t="shared" si="12"/>
        <v>3440042.3728813557</v>
      </c>
      <c r="I18" s="55">
        <f t="shared" si="12"/>
        <v>3353389.8305084743</v>
      </c>
      <c r="J18" s="64">
        <f t="shared" si="12"/>
        <v>3266737.2881355928</v>
      </c>
      <c r="K18" s="154"/>
      <c r="L18" s="139">
        <f t="shared" ref="L18:W18" si="13">L17-L19</f>
        <v>3180084.7457627114</v>
      </c>
      <c r="M18" s="55">
        <f t="shared" si="13"/>
        <v>3093432.20338983</v>
      </c>
      <c r="N18" s="55">
        <f t="shared" si="13"/>
        <v>2975423.7288135588</v>
      </c>
      <c r="O18" s="55">
        <f t="shared" si="13"/>
        <v>4738771.1864406774</v>
      </c>
      <c r="P18" s="55">
        <f t="shared" si="13"/>
        <v>4620762.7118644062</v>
      </c>
      <c r="Q18" s="55">
        <f t="shared" si="13"/>
        <v>4502754.2372881351</v>
      </c>
      <c r="R18" s="55">
        <f t="shared" si="13"/>
        <v>4384745.762711864</v>
      </c>
      <c r="S18" s="55">
        <f t="shared" si="13"/>
        <v>4266737.2881355928</v>
      </c>
      <c r="T18" s="55">
        <f t="shared" si="13"/>
        <v>4117372.881355932</v>
      </c>
      <c r="U18" s="55">
        <f t="shared" si="13"/>
        <v>5849364.4067796608</v>
      </c>
      <c r="V18" s="55">
        <f t="shared" si="13"/>
        <v>5700000</v>
      </c>
      <c r="W18" s="64">
        <f t="shared" si="13"/>
        <v>5550635.5932203392</v>
      </c>
      <c r="X18" s="154"/>
      <c r="Y18" s="139">
        <f t="shared" ref="Y18:AJ18" si="14">Y17-Y19</f>
        <v>5401271.1864406783</v>
      </c>
      <c r="Z18" s="55">
        <f t="shared" si="14"/>
        <v>5251906.7796610175</v>
      </c>
      <c r="AA18" s="55">
        <f t="shared" si="14"/>
        <v>5039830.5084745772</v>
      </c>
      <c r="AB18" s="55">
        <f t="shared" si="14"/>
        <v>8590466.1016949154</v>
      </c>
      <c r="AC18" s="55">
        <f t="shared" si="14"/>
        <v>8378389.8305084743</v>
      </c>
      <c r="AD18" s="55">
        <f t="shared" si="14"/>
        <v>8166313.5593220331</v>
      </c>
      <c r="AE18" s="55">
        <f t="shared" si="14"/>
        <v>7954237.2881355919</v>
      </c>
      <c r="AF18" s="55">
        <f t="shared" si="14"/>
        <v>7742161.0169491507</v>
      </c>
      <c r="AG18" s="55">
        <f t="shared" si="14"/>
        <v>7530084.7457627095</v>
      </c>
      <c r="AH18" s="55">
        <f t="shared" si="14"/>
        <v>7318008.4745762683</v>
      </c>
      <c r="AI18" s="55">
        <f t="shared" si="14"/>
        <v>7105932.2033898272</v>
      </c>
      <c r="AJ18" s="336">
        <f t="shared" si="14"/>
        <v>6893855.932203386</v>
      </c>
      <c r="AK18" s="154"/>
      <c r="AL18" s="139">
        <f t="shared" ref="AL18:AW18" si="15">AL17-AL19</f>
        <v>6681779.6610169448</v>
      </c>
      <c r="AM18" s="55">
        <f t="shared" si="15"/>
        <v>6469703.3898305036</v>
      </c>
      <c r="AN18" s="55">
        <f t="shared" si="15"/>
        <v>6194915.254237283</v>
      </c>
      <c r="AO18" s="55">
        <f t="shared" si="15"/>
        <v>9682838.9830508418</v>
      </c>
      <c r="AP18" s="55">
        <f t="shared" si="15"/>
        <v>9408050.8474576212</v>
      </c>
      <c r="AQ18" s="55">
        <f t="shared" si="15"/>
        <v>9133262.7118644007</v>
      </c>
      <c r="AR18" s="55">
        <f t="shared" si="15"/>
        <v>8858474.5762711801</v>
      </c>
      <c r="AS18" s="55">
        <f t="shared" si="15"/>
        <v>8583686.4406779595</v>
      </c>
      <c r="AT18" s="55">
        <f t="shared" si="15"/>
        <v>8308898.3050847389</v>
      </c>
      <c r="AU18" s="55">
        <f t="shared" si="15"/>
        <v>8034110.1694915183</v>
      </c>
      <c r="AV18" s="55">
        <f t="shared" si="15"/>
        <v>7759322.0338982977</v>
      </c>
      <c r="AW18" s="336">
        <f t="shared" si="15"/>
        <v>9133262.7118644007</v>
      </c>
      <c r="AX18" s="220"/>
      <c r="AY18" s="139">
        <f t="shared" ref="AY18:BJ18" si="16">AY17-AY19</f>
        <v>8795762.7118644007</v>
      </c>
      <c r="AZ18" s="55">
        <f t="shared" si="16"/>
        <v>8458262.7118644007</v>
      </c>
      <c r="BA18" s="55">
        <f t="shared" si="16"/>
        <v>8120762.7118644007</v>
      </c>
      <c r="BB18" s="55">
        <f t="shared" si="16"/>
        <v>7783262.7118644007</v>
      </c>
      <c r="BC18" s="55">
        <f t="shared" si="16"/>
        <v>7445762.7118644007</v>
      </c>
      <c r="BD18" s="55">
        <f t="shared" si="16"/>
        <v>7108262.7118644007</v>
      </c>
      <c r="BE18" s="55">
        <f t="shared" si="16"/>
        <v>6770762.7118644007</v>
      </c>
      <c r="BF18" s="55">
        <f t="shared" si="16"/>
        <v>6370550.8474576212</v>
      </c>
      <c r="BG18" s="55">
        <f t="shared" si="16"/>
        <v>5970338.9830508418</v>
      </c>
      <c r="BH18" s="55">
        <f t="shared" si="16"/>
        <v>5570127.1186440624</v>
      </c>
      <c r="BI18" s="55">
        <f t="shared" si="16"/>
        <v>5169915.254237283</v>
      </c>
      <c r="BJ18" s="336">
        <f t="shared" si="16"/>
        <v>7045550.8474576212</v>
      </c>
      <c r="BK18" s="220"/>
    </row>
    <row r="19" spans="1:63" s="194" customFormat="1" ht="12" customHeight="1">
      <c r="A19" s="179" t="s">
        <v>64</v>
      </c>
      <c r="B19" s="169" t="s">
        <v>16</v>
      </c>
      <c r="C19" s="286">
        <f>((K19+X19)+AK19)+AX19+BK19</f>
        <v>11929872.881355934</v>
      </c>
      <c r="D19" s="313"/>
      <c r="E19" s="299">
        <f>(E17*'Исходные данные'!$C$5)/12</f>
        <v>62711.86440677967</v>
      </c>
      <c r="F19" s="55">
        <f>(F16*'Исходные данные'!$C$5)/12</f>
        <v>86652.542372881362</v>
      </c>
      <c r="G19" s="55">
        <f>(G16*'Исходные данные'!$C$5)/12</f>
        <v>86652.542372881362</v>
      </c>
      <c r="H19" s="55">
        <f>(H16*'Исходные данные'!$C$5)/12</f>
        <v>86652.542372881362</v>
      </c>
      <c r="I19" s="55">
        <f>(I16*'Исходные данные'!$C$5)/12</f>
        <v>86652.542372881362</v>
      </c>
      <c r="J19" s="64">
        <f>(J16*'Исходные данные'!$C$5)/12</f>
        <v>86652.542372881362</v>
      </c>
      <c r="K19" s="154">
        <f>SUM(D19:J19)</f>
        <v>495974.57627118652</v>
      </c>
      <c r="L19" s="139">
        <f>(L16*'Исходные данные'!$C$5)/12</f>
        <v>86652.542372881362</v>
      </c>
      <c r="M19" s="55">
        <f>(M16*'Исходные данные'!$C$5)/12</f>
        <v>86652.542372881362</v>
      </c>
      <c r="N19" s="55">
        <f>(N16*'Исходные данные'!$C$5)/12</f>
        <v>118008.4745762712</v>
      </c>
      <c r="O19" s="55">
        <f>(O16*'Исходные данные'!$C$5)/12</f>
        <v>118008.4745762712</v>
      </c>
      <c r="P19" s="55">
        <f>(P16*'Исходные данные'!$C$5)/12</f>
        <v>118008.4745762712</v>
      </c>
      <c r="Q19" s="55">
        <f>(Q16*'Исходные данные'!$C$5)/12</f>
        <v>118008.4745762712</v>
      </c>
      <c r="R19" s="55">
        <f>(R16*'Исходные данные'!$C$5)/12</f>
        <v>118008.4745762712</v>
      </c>
      <c r="S19" s="55">
        <f>(S16*'Исходные данные'!$C$5)/12</f>
        <v>118008.4745762712</v>
      </c>
      <c r="T19" s="55">
        <f>(T16*'Исходные данные'!$C$5)/12</f>
        <v>149364.40677966105</v>
      </c>
      <c r="U19" s="55">
        <f>(U16*'Исходные данные'!$C$5)/12</f>
        <v>149364.40677966105</v>
      </c>
      <c r="V19" s="55">
        <f>(V16*'Исходные данные'!$C$5)/12</f>
        <v>149364.40677966105</v>
      </c>
      <c r="W19" s="404">
        <f>(W16*'Исходные данные'!$C$5)/12</f>
        <v>149364.40677966105</v>
      </c>
      <c r="X19" s="346">
        <f>SUM(L19:W19)</f>
        <v>1478813.559322034</v>
      </c>
      <c r="Y19" s="139">
        <f>(Y16*'Исходные данные'!$C$5)/12</f>
        <v>149364.40677966105</v>
      </c>
      <c r="Z19" s="55">
        <f>(Z16*'Исходные данные'!$C$5)/12</f>
        <v>149364.40677966105</v>
      </c>
      <c r="AA19" s="55">
        <f>(AA16*'Исходные данные'!$C$5)/12</f>
        <v>212076.27118644072</v>
      </c>
      <c r="AB19" s="55">
        <f>(AB16*'Исходные данные'!$C$5)/12</f>
        <v>212076.27118644072</v>
      </c>
      <c r="AC19" s="55">
        <f>(AC16*'Исходные данные'!$C$5)/12</f>
        <v>212076.27118644072</v>
      </c>
      <c r="AD19" s="55">
        <f>(AD16*'Исходные данные'!$C$5)/12</f>
        <v>212076.27118644072</v>
      </c>
      <c r="AE19" s="55">
        <f>(AE16*'Исходные данные'!$C$5)/12</f>
        <v>212076.27118644072</v>
      </c>
      <c r="AF19" s="55">
        <f>(AF16*'Исходные данные'!$C$5)/12</f>
        <v>212076.27118644072</v>
      </c>
      <c r="AG19" s="55">
        <f>(AG16*'Исходные данные'!$C$5)/12</f>
        <v>212076.27118644072</v>
      </c>
      <c r="AH19" s="55">
        <f>(AH16*'Исходные данные'!$C$5)/12</f>
        <v>212076.27118644072</v>
      </c>
      <c r="AI19" s="55">
        <f>(AI16*'Исходные данные'!$C$5)/12</f>
        <v>212076.27118644072</v>
      </c>
      <c r="AJ19" s="286">
        <f>(AJ16*'Исходные данные'!$C$5)/12</f>
        <v>212076.27118644072</v>
      </c>
      <c r="AK19" s="346">
        <f>SUM(Y19:AJ19)</f>
        <v>2419491.5254237293</v>
      </c>
      <c r="AL19" s="139">
        <f>(AL16*'Исходные данные'!$C$5)/12</f>
        <v>212076.27118644072</v>
      </c>
      <c r="AM19" s="55">
        <f>(AM16*'Исходные данные'!$C$5)/12</f>
        <v>212076.27118644072</v>
      </c>
      <c r="AN19" s="55">
        <f>(AN16*'Исходные данные'!$C$5)/12</f>
        <v>274788.13559322036</v>
      </c>
      <c r="AO19" s="55">
        <f>(AO16*'Исходные данные'!$C$5)/12</f>
        <v>274788.13559322036</v>
      </c>
      <c r="AP19" s="55">
        <f>(AP16*'Исходные данные'!$C$5)/12</f>
        <v>274788.13559322036</v>
      </c>
      <c r="AQ19" s="55">
        <f>(AQ16*'Исходные данные'!$C$5)/12</f>
        <v>274788.13559322036</v>
      </c>
      <c r="AR19" s="55">
        <f>(AR16*'Исходные данные'!$C$5)/12</f>
        <v>274788.13559322036</v>
      </c>
      <c r="AS19" s="55">
        <f>(AS16*'Исходные данные'!$C$5)/12</f>
        <v>274788.13559322036</v>
      </c>
      <c r="AT19" s="55">
        <f>(AT16*'Исходные данные'!$C$5)/12</f>
        <v>274788.13559322036</v>
      </c>
      <c r="AU19" s="55">
        <f>(AU16*'Исходные данные'!$C$5)/12</f>
        <v>274788.13559322036</v>
      </c>
      <c r="AV19" s="55">
        <f>(AV16*'Исходные данные'!$C$5)/12</f>
        <v>274788.13559322036</v>
      </c>
      <c r="AW19" s="286">
        <f>(AW16*'Исходные данные'!$C$5)/12</f>
        <v>274788.13559322036</v>
      </c>
      <c r="AX19" s="348">
        <f>SUM(AL19:AW19)</f>
        <v>3172033.8983050855</v>
      </c>
      <c r="AY19" s="139">
        <f>(AY16*'Исходные данные'!$C$5)/12</f>
        <v>337500</v>
      </c>
      <c r="AZ19" s="55">
        <f>(AZ16*'Исходные данные'!$C$5)/12</f>
        <v>337500</v>
      </c>
      <c r="BA19" s="55">
        <f>(BA16*'Исходные данные'!$C$5)/12</f>
        <v>337500</v>
      </c>
      <c r="BB19" s="55">
        <f>(BB16*'Исходные данные'!$C$5)/12</f>
        <v>337500</v>
      </c>
      <c r="BC19" s="55">
        <f>(BC16*'Исходные данные'!$C$5)/12</f>
        <v>337500</v>
      </c>
      <c r="BD19" s="55">
        <f>(BD16*'Исходные данные'!$C$5)/12</f>
        <v>337500</v>
      </c>
      <c r="BE19" s="55">
        <f>(BE16*'Исходные данные'!$C$5)/12</f>
        <v>337500</v>
      </c>
      <c r="BF19" s="55">
        <f>(BF16*'Исходные данные'!$C$5)/12</f>
        <v>400211.86440677964</v>
      </c>
      <c r="BG19" s="55">
        <f>(BG16*'Исходные данные'!$C$5)/12</f>
        <v>400211.86440677964</v>
      </c>
      <c r="BH19" s="55">
        <f>(BH16*'Исходные данные'!$C$5)/12</f>
        <v>400211.86440677964</v>
      </c>
      <c r="BI19" s="55">
        <f>(BI16*'Исходные данные'!$C$5)/12</f>
        <v>400211.86440677964</v>
      </c>
      <c r="BJ19" s="286">
        <f>(BJ16*'Исходные данные'!$C$5)/12</f>
        <v>400211.86440677964</v>
      </c>
      <c r="BK19" s="348">
        <f>SUM(AY19:BJ19)</f>
        <v>4363559.322033897</v>
      </c>
    </row>
    <row r="20" spans="1:63" s="194" customFormat="1" ht="13.2">
      <c r="A20" s="272" t="s">
        <v>65</v>
      </c>
      <c r="B20" s="163" t="s">
        <v>16</v>
      </c>
      <c r="C20" s="288"/>
      <c r="D20" s="316">
        <f>(Транспорт!$E$3/1.18)*Расчёты!$D$9</f>
        <v>508474.57627118647</v>
      </c>
      <c r="E20" s="302">
        <f>(Транспорт!$E$3/1.18)*Расчёты!$D$9</f>
        <v>508474.57627118647</v>
      </c>
      <c r="F20" s="284">
        <f>(Транспорт!$E$3/1.18)*Расчёты!$D$9</f>
        <v>508474.57627118647</v>
      </c>
      <c r="G20" s="284">
        <f>(Транспорт!$E$3/1.18)*Расчёты!$D$9</f>
        <v>508474.57627118647</v>
      </c>
      <c r="H20" s="284">
        <f>(Транспорт!$E$3/1.18)*Расчёты!$D$9</f>
        <v>508474.57627118647</v>
      </c>
      <c r="I20" s="284">
        <f>(Транспорт!$E$3/1.18)*Расчёты!$D$9</f>
        <v>508474.57627118647</v>
      </c>
      <c r="J20" s="283">
        <f>(Транспорт!$E$3/1.18)*Расчёты!$D$9</f>
        <v>508474.57627118647</v>
      </c>
      <c r="K20" s="154"/>
      <c r="L20" s="282">
        <f>(Транспорт!$E$3/1.18)*Расчёты!$D$9</f>
        <v>508474.57627118647</v>
      </c>
      <c r="M20" s="284">
        <f>(Транспорт!$E$3/1.18)*Расчёты!$D$9</f>
        <v>508474.57627118647</v>
      </c>
      <c r="N20" s="328">
        <f>($M$20+((Транспорт!$E$4/1.18)*Расчёты!$L$10))+((Транспорт!$E$3/1.18)*Расчёты!$M$9)</f>
        <v>5677966.1016949154</v>
      </c>
      <c r="O20" s="247">
        <f>($M$20+((Транспорт!$E$4/1.18)*Расчёты!$L$10))+((Транспорт!$E$3/1.18)*Расчёты!$M$9)</f>
        <v>5677966.1016949154</v>
      </c>
      <c r="P20" s="247">
        <f>($M$20+((Транспорт!$E$4/1.18)*Расчёты!$L$10))+((Транспорт!$E$3/1.18)*Расчёты!$M$9)</f>
        <v>5677966.1016949154</v>
      </c>
      <c r="Q20" s="247">
        <f>($M$20+((Транспорт!$E$4/1.18)*Расчёты!$L$10))+((Транспорт!$E$3/1.18)*Расчёты!$M$9)</f>
        <v>5677966.1016949154</v>
      </c>
      <c r="R20" s="247">
        <f>($M$20+((Транспорт!$E$4/1.18)*Расчёты!$L$10))+((Транспорт!$E$3/1.18)*Расчёты!$M$9)</f>
        <v>5677966.1016949154</v>
      </c>
      <c r="S20" s="247">
        <f>($M$20+((Транспорт!$E$4/1.18)*Расчёты!$L$10))+((Транспорт!$E$3/1.18)*Расчёты!$M$9)</f>
        <v>5677966.1016949154</v>
      </c>
      <c r="T20" s="247">
        <f>$S$20+((Транспорт!$E$4/1.18)*Расчёты!$R$10)</f>
        <v>15000000</v>
      </c>
      <c r="U20" s="247">
        <f>$S$20+((Транспорт!$E$4/1.18)*Расчёты!$R$10)</f>
        <v>15000000</v>
      </c>
      <c r="V20" s="327">
        <f>$S$20+((Транспорт!$E$4/1.18)*Расчёты!$R$10)</f>
        <v>15000000</v>
      </c>
      <c r="W20" s="405">
        <f>$S$20+((Транспорт!$E$4/1.18)*Расчёты!$R$10)</f>
        <v>15000000</v>
      </c>
      <c r="X20" s="346"/>
      <c r="Y20" s="98">
        <f>$S$20+((Транспорт!$E$4/1.18)*Расчёты!$R$10)</f>
        <v>15000000</v>
      </c>
      <c r="Z20" s="247">
        <f>$S$20+((Транспорт!$E$4/1.18)*Расчёты!$R$10)</f>
        <v>15000000</v>
      </c>
      <c r="AA20" s="247">
        <f>($Z$20+((Транспорт!$E$4/1.18)*Расчёты!$Y$10))+((Транспорт!$E$3/1.18)*Расчёты!$Z$9)</f>
        <v>29491525.423728812</v>
      </c>
      <c r="AB20" s="247">
        <f>($Z$20+((Транспорт!$E$4/1.18)*Расчёты!$Y$10))+((Транспорт!$E$3/1.18)*Расчёты!$Z$9)</f>
        <v>29491525.423728812</v>
      </c>
      <c r="AC20" s="247">
        <f>($Z$20+((Транспорт!$E$4/1.18)*Расчёты!$Y$10))+((Транспорт!$E$3/1.18)*Расчёты!$Z$9)</f>
        <v>29491525.423728812</v>
      </c>
      <c r="AD20" s="247">
        <f>($Z$20+((Транспорт!$E$4/1.18)*Расчёты!$Y$10))+((Транспорт!$E$3/1.18)*Расчёты!$Z$9)</f>
        <v>29491525.423728812</v>
      </c>
      <c r="AE20" s="247">
        <f>($Z$20+((Транспорт!$E$4/1.18)*Расчёты!$Y$10))+((Транспорт!$E$3/1.18)*Расчёты!$Z$9)</f>
        <v>29491525.423728812</v>
      </c>
      <c r="AF20" s="247">
        <f>($Z$20+((Транспорт!$E$4/1.18)*Расчёты!$Y$10))+((Транспорт!$E$3/1.18)*Расчёты!$Z$9)</f>
        <v>29491525.423728812</v>
      </c>
      <c r="AG20" s="247">
        <f>($Z$20+((Транспорт!$E$4/1.18)*Расчёты!$Y$10))+((Транспорт!$E$3/1.18)*Расчёты!$Z$9)</f>
        <v>29491525.423728812</v>
      </c>
      <c r="AH20" s="247">
        <f>($Z$20+((Транспорт!$E$4/1.18)*Расчёты!$Y$10))+((Транспорт!$E$3/1.18)*Расчёты!$Z$9)</f>
        <v>29491525.423728812</v>
      </c>
      <c r="AI20" s="247">
        <f>($Z$20+((Транспорт!$E$4/1.18)*Расчёты!$Y$10))+((Транспорт!$E$3/1.18)*Расчёты!$Z$9)</f>
        <v>29491525.423728812</v>
      </c>
      <c r="AJ20" s="288">
        <f>($Z$20+((Транспорт!$E$4/1.18)*Расчёты!$Y$10))+((Транспорт!$E$3/1.18)*Расчёты!$Z$9)</f>
        <v>29491525.423728812</v>
      </c>
      <c r="AK20" s="346"/>
      <c r="AL20" s="98">
        <f>($Z$20+((Транспорт!$E$4/1.18)*Расчёты!$Y$10))+((Транспорт!$E$3/1.18)*Расчёты!$Z$9)</f>
        <v>29491525.423728812</v>
      </c>
      <c r="AM20" s="247">
        <f>($Z$20+((Транспорт!$E$4/1.18)*Расчёты!$Y$10))+((Транспорт!$E$3/1.18)*Расчёты!$Z$9)</f>
        <v>29491525.423728812</v>
      </c>
      <c r="AN20" s="247">
        <f>($AM$20+((Транспорт!$E$4/1.18)*Расчёты!$AL$10))+((Транспорт!$E$3/1.18)*Расчёты!$AM$9)</f>
        <v>39322033.898305081</v>
      </c>
      <c r="AO20" s="247">
        <f>($AM$20+((Транспорт!$E$4/1.18)*Расчёты!$AL$10))+((Транспорт!$E$3/1.18)*Расчёты!$AM$9)</f>
        <v>39322033.898305081</v>
      </c>
      <c r="AP20" s="247">
        <f>($AM$20+((Транспорт!$E$4/1.18)*Расчёты!$AL$10))+((Транспорт!$E$3/1.18)*Расчёты!$AM$9)</f>
        <v>39322033.898305081</v>
      </c>
      <c r="AQ20" s="247">
        <f>($AM$20+((Транспорт!$E$4/1.18)*Расчёты!$AL$10))+((Транспорт!$E$3/1.18)*Расчёты!$AM$9)</f>
        <v>39322033.898305081</v>
      </c>
      <c r="AR20" s="247">
        <f>($AM$20+((Транспорт!$E$4/1.18)*Расчёты!$AL$10))+((Транспорт!$E$3/1.18)*Расчёты!$AM$9)</f>
        <v>39322033.898305081</v>
      </c>
      <c r="AS20" s="247">
        <f>($AM$20+((Транспорт!$E$4/1.18)*Расчёты!$AL$10))+((Транспорт!$E$3/1.18)*Расчёты!$AM$9)</f>
        <v>39322033.898305081</v>
      </c>
      <c r="AT20" s="247">
        <f>($AM$20+((Транспорт!$E$4/1.18)*Расчёты!$AL$10))+((Транспорт!$E$3/1.18)*Расчёты!$AM$9)</f>
        <v>39322033.898305081</v>
      </c>
      <c r="AU20" s="247">
        <f>($AM$20+((Транспорт!$E$4/1.18)*Расчёты!$AL$10))+((Транспорт!$E$3/1.18)*Расчёты!$AM$9)</f>
        <v>39322033.898305081</v>
      </c>
      <c r="AV20" s="247">
        <f>($AM$20+((Транспорт!$E$4/1.18)*Расчёты!$AL$10))+((Транспорт!$E$3/1.18)*Расчёты!$AM$9)</f>
        <v>39322033.898305081</v>
      </c>
      <c r="AW20" s="288">
        <f>($AM$20+((Транспорт!$E$4/1.18)*Расчёты!$AL$10))+((Транспорт!$E$3/1.18)*Расчёты!$AM$9)</f>
        <v>39322033.898305081</v>
      </c>
      <c r="AX20" s="347"/>
      <c r="AY20" s="288">
        <f>($AM$20+((Транспорт!$E$4/1.18)*Расчёты!$AL$10))+((Транспорт!$E$3/1.18)*Расчёты!$AM$9)</f>
        <v>39322033.898305081</v>
      </c>
      <c r="AZ20" s="288">
        <f>($AM$20+((Транспорт!$E$4/1.18)*Расчёты!$AL$10))+((Транспорт!$E$3/1.18)*Расчёты!$AM$9)</f>
        <v>39322033.898305081</v>
      </c>
      <c r="BA20" s="247">
        <f>($AZ$20+((Транспорт!$E$4/1.18)*Расчёты!$AY$10))+((Транспорт!$E$3/1.18)*Расчёты!$AZ$9)</f>
        <v>49152542.372881345</v>
      </c>
      <c r="BB20" s="247">
        <f>($AZ$20+((Транспорт!$E$4/1.18)*Расчёты!$AY$10))+((Транспорт!$E$3/1.18)*Расчёты!$AZ$9)</f>
        <v>49152542.372881345</v>
      </c>
      <c r="BC20" s="247">
        <f>($AZ$20+((Транспорт!$E$4/1.18)*Расчёты!$AY$10))+((Транспорт!$E$3/1.18)*Расчёты!$AZ$9)</f>
        <v>49152542.372881345</v>
      </c>
      <c r="BD20" s="247">
        <f>($AZ$20+((Транспорт!$E$4/1.18)*Расчёты!$AY$10))+((Транспорт!$E$3/1.18)*Расчёты!$AZ$9)</f>
        <v>49152542.372881345</v>
      </c>
      <c r="BE20" s="247">
        <f>($AZ$20+((Транспорт!$E$4/1.18)*Расчёты!$AY$10))+((Транспорт!$E$3/1.18)*Расчёты!$AZ$9)</f>
        <v>49152542.372881345</v>
      </c>
      <c r="BF20" s="247">
        <f>($AZ$20+((Транспорт!$E$4/1.18)*Расчёты!$AY$10))+((Транспорт!$E$3/1.18)*Расчёты!$AZ$9)</f>
        <v>49152542.372881345</v>
      </c>
      <c r="BG20" s="247">
        <f>($AZ$20+((Транспорт!$E$4/1.18)*Расчёты!$AY$10))+((Транспорт!$E$3/1.18)*Расчёты!$AZ$9)</f>
        <v>49152542.372881345</v>
      </c>
      <c r="BH20" s="247">
        <f>($AZ$20+((Транспорт!$E$4/1.18)*Расчёты!$AY$10))+((Транспорт!$E$3/1.18)*Расчёты!$AZ$9)</f>
        <v>49152542.372881345</v>
      </c>
      <c r="BI20" s="247">
        <f>($AZ$20+((Транспорт!$E$4/1.18)*Расчёты!$AY$10))+((Транспорт!$E$3/1.18)*Расчёты!$AZ$9)</f>
        <v>49152542.372881345</v>
      </c>
      <c r="BJ20" s="247">
        <f>($AZ$20+((Транспорт!$E$4/1.18)*Расчёты!$AY$10))+((Транспорт!$E$3/1.18)*Расчёты!$AZ$9)</f>
        <v>49152542.372881345</v>
      </c>
      <c r="BK20" s="347"/>
    </row>
    <row r="21" spans="1:63" ht="15" customHeight="1">
      <c r="A21" s="273" t="s">
        <v>62</v>
      </c>
      <c r="B21" s="163" t="s">
        <v>16</v>
      </c>
      <c r="C21" s="288"/>
      <c r="D21" s="316"/>
      <c r="E21" s="303">
        <f>E20</f>
        <v>508474.57627118647</v>
      </c>
      <c r="F21" s="247">
        <f>E22</f>
        <v>502542.37288135593</v>
      </c>
      <c r="G21" s="247">
        <f>F22</f>
        <v>496610.16949152539</v>
      </c>
      <c r="H21" s="247">
        <f>G22</f>
        <v>490677.96610169485</v>
      </c>
      <c r="I21" s="247">
        <f>H22</f>
        <v>484745.76271186431</v>
      </c>
      <c r="J21" s="24">
        <f>I22</f>
        <v>478813.55932203378</v>
      </c>
      <c r="K21" s="154"/>
      <c r="L21" s="323">
        <f>J22</f>
        <v>472881.35593220324</v>
      </c>
      <c r="M21" s="247">
        <f>L22</f>
        <v>466949.1525423727</v>
      </c>
      <c r="N21" s="247">
        <f>M22+((Транспорт!E3/1.18)*Расчёты!M9)</f>
        <v>969491.52542372863</v>
      </c>
      <c r="O21" s="247">
        <f>(N22+((Транспорт!E4/1.18)*Расчёты!L10))+((Транспорт!E3/1.18)*Расчёты!M9)</f>
        <v>6072740.1129943505</v>
      </c>
      <c r="P21" s="247">
        <f>O22</f>
        <v>6006497.1751412433</v>
      </c>
      <c r="Q21" s="247">
        <f>P22</f>
        <v>5940254.237288136</v>
      </c>
      <c r="R21" s="247">
        <f>Q22</f>
        <v>5874011.2994350288</v>
      </c>
      <c r="S21" s="247">
        <f>R22</f>
        <v>5807768.3615819216</v>
      </c>
      <c r="T21" s="247">
        <f>S22</f>
        <v>5741525.4237288143</v>
      </c>
      <c r="U21" s="247">
        <f>T22+((Транспорт!E4/1.18)*Расчёты!R10)</f>
        <v>14888559.322033899</v>
      </c>
      <c r="V21" s="327">
        <f>U22</f>
        <v>14713559.322033899</v>
      </c>
      <c r="W21" s="24">
        <f>V22</f>
        <v>14538559.322033899</v>
      </c>
      <c r="X21" s="154"/>
      <c r="Y21" s="98">
        <f>W22</f>
        <v>14363559.322033899</v>
      </c>
      <c r="Z21" s="247">
        <f>Y22</f>
        <v>14188559.322033899</v>
      </c>
      <c r="AA21" s="247">
        <f>Z22</f>
        <v>14013559.322033899</v>
      </c>
      <c r="AB21" s="247">
        <f>(AA22+((Транспорт!E4/1.18)*Расчёты!Y10))+((Транспорт!E3/1.18)*Расчёты!Z9)</f>
        <v>28161016.949152544</v>
      </c>
      <c r="AC21" s="247">
        <f t="shared" ref="AC21:AJ21" si="17">AB22</f>
        <v>27816949.152542375</v>
      </c>
      <c r="AD21" s="247">
        <f t="shared" si="17"/>
        <v>27472881.355932206</v>
      </c>
      <c r="AE21" s="247">
        <f t="shared" si="17"/>
        <v>27128813.559322037</v>
      </c>
      <c r="AF21" s="247">
        <f t="shared" si="17"/>
        <v>26784745.762711868</v>
      </c>
      <c r="AG21" s="247">
        <f t="shared" si="17"/>
        <v>26440677.966101699</v>
      </c>
      <c r="AH21" s="247">
        <f t="shared" si="17"/>
        <v>26096610.169491529</v>
      </c>
      <c r="AI21" s="247">
        <f t="shared" si="17"/>
        <v>25752542.37288136</v>
      </c>
      <c r="AJ21" s="341">
        <f t="shared" si="17"/>
        <v>25408474.576271191</v>
      </c>
      <c r="AK21" s="154"/>
      <c r="AL21" s="98">
        <f>AJ22</f>
        <v>25064406.779661022</v>
      </c>
      <c r="AM21" s="247">
        <f>AL22</f>
        <v>24720338.983050853</v>
      </c>
      <c r="AN21" s="247">
        <f>AM22</f>
        <v>24376271.186440684</v>
      </c>
      <c r="AO21" s="247">
        <f>(AN22+((Транспорт!E4/1.18)*Расчёты!AL10))+((Транспорт!E3/1.18)*Расчёты!AM9)</f>
        <v>33748022.598870061</v>
      </c>
      <c r="AP21" s="247">
        <f>AO22</f>
        <v>33289265.53672317</v>
      </c>
      <c r="AQ21" s="247">
        <f t="shared" ref="AQ21:AV21" si="18">AP22</f>
        <v>32830508.47457628</v>
      </c>
      <c r="AR21" s="247">
        <f t="shared" si="18"/>
        <v>32371751.412429389</v>
      </c>
      <c r="AS21" s="247">
        <f t="shared" si="18"/>
        <v>31912994.350282498</v>
      </c>
      <c r="AT21" s="247">
        <f t="shared" si="18"/>
        <v>31454237.288135607</v>
      </c>
      <c r="AU21" s="247">
        <f t="shared" si="18"/>
        <v>30995480.225988716</v>
      </c>
      <c r="AV21" s="247">
        <f t="shared" si="18"/>
        <v>30536723.163841825</v>
      </c>
      <c r="AW21" s="341">
        <f>AP22</f>
        <v>32830508.47457628</v>
      </c>
      <c r="AX21" s="220"/>
      <c r="AY21" s="98">
        <f>AW22</f>
        <v>32371751.412429389</v>
      </c>
      <c r="AZ21" s="247">
        <f>AY22</f>
        <v>31912994.350282498</v>
      </c>
      <c r="BA21" s="247">
        <f>AZ22</f>
        <v>31454237.288135607</v>
      </c>
      <c r="BB21" s="247">
        <f>(BA22+((Транспорт!R4/1.18)*Расчёты!AY10))+((Транспорт!R3/1.18)*Расчёты!AZ9)</f>
        <v>30880790.96045199</v>
      </c>
      <c r="BC21" s="247">
        <f>BB22</f>
        <v>30307344.632768374</v>
      </c>
      <c r="BD21" s="247">
        <f t="shared" ref="BD21:BI21" si="19">BC22</f>
        <v>29733898.305084758</v>
      </c>
      <c r="BE21" s="247">
        <f t="shared" si="19"/>
        <v>29160451.977401141</v>
      </c>
      <c r="BF21" s="247">
        <f t="shared" si="19"/>
        <v>28587005.649717525</v>
      </c>
      <c r="BG21" s="247">
        <f t="shared" si="19"/>
        <v>28013559.322033908</v>
      </c>
      <c r="BH21" s="247">
        <f t="shared" si="19"/>
        <v>27440112.994350292</v>
      </c>
      <c r="BI21" s="247">
        <f t="shared" si="19"/>
        <v>26866666.666666675</v>
      </c>
      <c r="BJ21" s="341">
        <f>BC22</f>
        <v>29733898.305084758</v>
      </c>
      <c r="BK21" s="220"/>
    </row>
    <row r="22" spans="1:63" ht="14.25" customHeight="1">
      <c r="A22" s="274" t="s">
        <v>63</v>
      </c>
      <c r="B22" s="163" t="s">
        <v>16</v>
      </c>
      <c r="C22" s="288"/>
      <c r="D22" s="316"/>
      <c r="E22" s="303">
        <f t="shared" ref="E22:J22" si="20">E21-E23</f>
        <v>502542.37288135593</v>
      </c>
      <c r="F22" s="247">
        <f t="shared" si="20"/>
        <v>496610.16949152539</v>
      </c>
      <c r="G22" s="247">
        <f t="shared" si="20"/>
        <v>490677.96610169485</v>
      </c>
      <c r="H22" s="247">
        <f t="shared" si="20"/>
        <v>484745.76271186431</v>
      </c>
      <c r="I22" s="247">
        <f t="shared" si="20"/>
        <v>478813.55932203378</v>
      </c>
      <c r="J22" s="24">
        <f t="shared" si="20"/>
        <v>472881.35593220324</v>
      </c>
      <c r="K22" s="154"/>
      <c r="L22" s="323">
        <f t="shared" ref="L22:W22" si="21">L21-L23</f>
        <v>466949.1525423727</v>
      </c>
      <c r="M22" s="247">
        <f t="shared" si="21"/>
        <v>461016.94915254216</v>
      </c>
      <c r="N22" s="247">
        <f t="shared" si="21"/>
        <v>903248.58757062128</v>
      </c>
      <c r="O22" s="247">
        <f t="shared" si="21"/>
        <v>6006497.1751412433</v>
      </c>
      <c r="P22" s="247">
        <f t="shared" si="21"/>
        <v>5940254.237288136</v>
      </c>
      <c r="Q22" s="247">
        <f t="shared" si="21"/>
        <v>5874011.2994350288</v>
      </c>
      <c r="R22" s="247">
        <f t="shared" si="21"/>
        <v>5807768.3615819216</v>
      </c>
      <c r="S22" s="247">
        <f t="shared" si="21"/>
        <v>5741525.4237288143</v>
      </c>
      <c r="T22" s="247">
        <f t="shared" si="21"/>
        <v>5566525.4237288143</v>
      </c>
      <c r="U22" s="247">
        <f t="shared" si="21"/>
        <v>14713559.322033899</v>
      </c>
      <c r="V22" s="327">
        <f t="shared" si="21"/>
        <v>14538559.322033899</v>
      </c>
      <c r="W22" s="24">
        <f t="shared" si="21"/>
        <v>14363559.322033899</v>
      </c>
      <c r="X22" s="154"/>
      <c r="Y22" s="98">
        <f t="shared" ref="Y22:AJ22" si="22">Y21-Y23</f>
        <v>14188559.322033899</v>
      </c>
      <c r="Z22" s="247">
        <f t="shared" si="22"/>
        <v>14013559.322033899</v>
      </c>
      <c r="AA22" s="247">
        <f t="shared" si="22"/>
        <v>13669491.52542373</v>
      </c>
      <c r="AB22" s="247">
        <f t="shared" si="22"/>
        <v>27816949.152542375</v>
      </c>
      <c r="AC22" s="247">
        <f t="shared" si="22"/>
        <v>27472881.355932206</v>
      </c>
      <c r="AD22" s="247">
        <f t="shared" si="22"/>
        <v>27128813.559322037</v>
      </c>
      <c r="AE22" s="247">
        <f t="shared" si="22"/>
        <v>26784745.762711868</v>
      </c>
      <c r="AF22" s="247">
        <f t="shared" si="22"/>
        <v>26440677.966101699</v>
      </c>
      <c r="AG22" s="247">
        <f t="shared" si="22"/>
        <v>26096610.169491529</v>
      </c>
      <c r="AH22" s="247">
        <f t="shared" si="22"/>
        <v>25752542.37288136</v>
      </c>
      <c r="AI22" s="247">
        <f t="shared" si="22"/>
        <v>25408474.576271191</v>
      </c>
      <c r="AJ22" s="341">
        <f t="shared" si="22"/>
        <v>25064406.779661022</v>
      </c>
      <c r="AK22" s="154"/>
      <c r="AL22" s="98">
        <f t="shared" ref="AL22:AW22" si="23">AL21-AL23</f>
        <v>24720338.983050853</v>
      </c>
      <c r="AM22" s="247">
        <f t="shared" si="23"/>
        <v>24376271.186440684</v>
      </c>
      <c r="AN22" s="247">
        <f t="shared" si="23"/>
        <v>23917514.124293793</v>
      </c>
      <c r="AO22" s="247">
        <f t="shared" si="23"/>
        <v>33289265.53672317</v>
      </c>
      <c r="AP22" s="247">
        <f t="shared" si="23"/>
        <v>32830508.47457628</v>
      </c>
      <c r="AQ22" s="247">
        <f t="shared" si="23"/>
        <v>32371751.412429389</v>
      </c>
      <c r="AR22" s="247">
        <f t="shared" si="23"/>
        <v>31912994.350282498</v>
      </c>
      <c r="AS22" s="247">
        <f t="shared" si="23"/>
        <v>31454237.288135607</v>
      </c>
      <c r="AT22" s="247">
        <f t="shared" si="23"/>
        <v>30995480.225988716</v>
      </c>
      <c r="AU22" s="247">
        <f t="shared" si="23"/>
        <v>30536723.163841825</v>
      </c>
      <c r="AV22" s="247">
        <f t="shared" si="23"/>
        <v>30077966.101694934</v>
      </c>
      <c r="AW22" s="247">
        <f t="shared" si="23"/>
        <v>32371751.412429389</v>
      </c>
      <c r="AX22" s="220"/>
      <c r="AY22" s="98">
        <f t="shared" ref="AY22:BJ22" si="24">AY21-AY23</f>
        <v>31912994.350282498</v>
      </c>
      <c r="AZ22" s="247">
        <f t="shared" si="24"/>
        <v>31454237.288135607</v>
      </c>
      <c r="BA22" s="247">
        <f t="shared" si="24"/>
        <v>30880790.96045199</v>
      </c>
      <c r="BB22" s="247">
        <f t="shared" si="24"/>
        <v>30307344.632768374</v>
      </c>
      <c r="BC22" s="247">
        <f t="shared" si="24"/>
        <v>29733898.305084758</v>
      </c>
      <c r="BD22" s="247">
        <f t="shared" si="24"/>
        <v>29160451.977401141</v>
      </c>
      <c r="BE22" s="247">
        <f t="shared" si="24"/>
        <v>28587005.649717525</v>
      </c>
      <c r="BF22" s="247">
        <f t="shared" si="24"/>
        <v>28013559.322033908</v>
      </c>
      <c r="BG22" s="247">
        <f t="shared" si="24"/>
        <v>27440112.994350292</v>
      </c>
      <c r="BH22" s="247">
        <f t="shared" si="24"/>
        <v>26866666.666666675</v>
      </c>
      <c r="BI22" s="247">
        <f t="shared" si="24"/>
        <v>26293220.338983059</v>
      </c>
      <c r="BJ22" s="247">
        <f t="shared" si="24"/>
        <v>29160451.977401141</v>
      </c>
      <c r="BK22" s="220"/>
    </row>
    <row r="23" spans="1:63" s="194" customFormat="1" ht="12" customHeight="1">
      <c r="A23" s="273" t="s">
        <v>66</v>
      </c>
      <c r="B23" s="163" t="s">
        <v>16</v>
      </c>
      <c r="C23" s="288">
        <f t="shared" ref="C23:C32" si="25">((K23+X23)+AK23)+AX23</f>
        <v>10211299.435028249</v>
      </c>
      <c r="D23" s="316"/>
      <c r="E23" s="303">
        <f>(E20*'Исходные данные'!$C$6)/12</f>
        <v>5932.203389830509</v>
      </c>
      <c r="F23" s="247">
        <f>(F20*'Исходные данные'!$C$6)/12</f>
        <v>5932.203389830509</v>
      </c>
      <c r="G23" s="247">
        <f>(G20*'Исходные данные'!$C$6)/12</f>
        <v>5932.203389830509</v>
      </c>
      <c r="H23" s="247">
        <f>(H20*'Исходные данные'!$C$6)/12</f>
        <v>5932.203389830509</v>
      </c>
      <c r="I23" s="247">
        <f>(I20*'Исходные данные'!$C$6)/12</f>
        <v>5932.203389830509</v>
      </c>
      <c r="J23" s="24">
        <f>(J20*'Исходные данные'!$C$6)/12</f>
        <v>5932.203389830509</v>
      </c>
      <c r="K23" s="154">
        <f t="shared" ref="K23:K32" si="26">SUM(D23:J23)</f>
        <v>35593.220338983054</v>
      </c>
      <c r="L23" s="323">
        <f>(L20*'Исходные данные'!$C$6)/12</f>
        <v>5932.203389830509</v>
      </c>
      <c r="M23" s="247">
        <f>(M20*'Исходные данные'!$C$6)/12</f>
        <v>5932.203389830509</v>
      </c>
      <c r="N23" s="247">
        <f>(N20*'Исходные данные'!$C$6)/12</f>
        <v>66242.93785310736</v>
      </c>
      <c r="O23" s="247">
        <f>(O20*'Исходные данные'!$C$6)/12</f>
        <v>66242.93785310736</v>
      </c>
      <c r="P23" s="247">
        <f>(P20*'Исходные данные'!$C$6)/12</f>
        <v>66242.93785310736</v>
      </c>
      <c r="Q23" s="247">
        <f>(Q20*'Исходные данные'!$C$6)/12</f>
        <v>66242.93785310736</v>
      </c>
      <c r="R23" s="247">
        <f>(R20*'Исходные данные'!$C$6)/12</f>
        <v>66242.93785310736</v>
      </c>
      <c r="S23" s="247">
        <f>(S20*'Исходные данные'!$C$6)/12</f>
        <v>66242.93785310736</v>
      </c>
      <c r="T23" s="247">
        <f>(T20*'Исходные данные'!$C$6)/12</f>
        <v>175000</v>
      </c>
      <c r="U23" s="247">
        <f>(U20*'Исходные данные'!$C$6)/12</f>
        <v>175000</v>
      </c>
      <c r="V23" s="327">
        <f>(V20*'Исходные данные'!$C$6)/12</f>
        <v>175000</v>
      </c>
      <c r="W23" s="405">
        <f>(W20*'Исходные данные'!$C$6)/12</f>
        <v>175000</v>
      </c>
      <c r="X23" s="346">
        <f t="shared" ref="X23:X32" si="27">SUM(L23:W23)</f>
        <v>1109322.0338983051</v>
      </c>
      <c r="Y23" s="98">
        <f>(Y20*'Исходные данные'!$C$6)/12</f>
        <v>175000</v>
      </c>
      <c r="Z23" s="247">
        <f>(Z20*'Исходные данные'!$C$6)/12</f>
        <v>175000</v>
      </c>
      <c r="AA23" s="247">
        <f>(AA20*'Исходные данные'!$C$6)/12</f>
        <v>344067.79661016952</v>
      </c>
      <c r="AB23" s="247">
        <f>(AB20*'Исходные данные'!$C$6)/12</f>
        <v>344067.79661016952</v>
      </c>
      <c r="AC23" s="247">
        <f>(AC20*'Исходные данные'!$C$6)/12</f>
        <v>344067.79661016952</v>
      </c>
      <c r="AD23" s="247">
        <f>(AD20*'Исходные данные'!$C$6)/12</f>
        <v>344067.79661016952</v>
      </c>
      <c r="AE23" s="247">
        <f>(AE20*'Исходные данные'!$C$6)/12</f>
        <v>344067.79661016952</v>
      </c>
      <c r="AF23" s="247">
        <f>(AF20*'Исходные данные'!$C$6)/12</f>
        <v>344067.79661016952</v>
      </c>
      <c r="AG23" s="247">
        <f>(AG20*'Исходные данные'!$C$6)/12</f>
        <v>344067.79661016952</v>
      </c>
      <c r="AH23" s="247">
        <f>(AH20*'Исходные данные'!$C$6)/12</f>
        <v>344067.79661016952</v>
      </c>
      <c r="AI23" s="247">
        <f>(AI20*'Исходные данные'!$C$6)/12</f>
        <v>344067.79661016952</v>
      </c>
      <c r="AJ23" s="288">
        <f>(AJ20*'Исходные данные'!$C$6)/12</f>
        <v>344067.79661016952</v>
      </c>
      <c r="AK23" s="346">
        <f t="shared" ref="AK23:AK32" si="28">SUM(Y23:AJ23)</f>
        <v>3790677.9661016958</v>
      </c>
      <c r="AL23" s="98">
        <f>(AL20*'Исходные данные'!$C$6)/12</f>
        <v>344067.79661016952</v>
      </c>
      <c r="AM23" s="247">
        <f>(AM20*'Исходные данные'!$C$6)/12</f>
        <v>344067.79661016952</v>
      </c>
      <c r="AN23" s="247">
        <f>(AN20*'Исходные данные'!$C$6)/12</f>
        <v>458757.0621468926</v>
      </c>
      <c r="AO23" s="247">
        <f>(AO20*'Исходные данные'!$C$6)/12</f>
        <v>458757.0621468926</v>
      </c>
      <c r="AP23" s="247">
        <f>(AP20*'Исходные данные'!$C$6)/12</f>
        <v>458757.0621468926</v>
      </c>
      <c r="AQ23" s="247">
        <f>(AQ20*'Исходные данные'!$C$6)/12</f>
        <v>458757.0621468926</v>
      </c>
      <c r="AR23" s="247">
        <f>(AR20*'Исходные данные'!$C$6)/12</f>
        <v>458757.0621468926</v>
      </c>
      <c r="AS23" s="247">
        <f>(AS20*'Исходные данные'!$C$6)/12</f>
        <v>458757.0621468926</v>
      </c>
      <c r="AT23" s="247">
        <f>(AT20*'Исходные данные'!$C$6)/12</f>
        <v>458757.0621468926</v>
      </c>
      <c r="AU23" s="247">
        <f>(AU20*'Исходные данные'!$C$6)/12</f>
        <v>458757.0621468926</v>
      </c>
      <c r="AV23" s="247">
        <f>(AV20*'Исходные данные'!$C$6)/12</f>
        <v>458757.0621468926</v>
      </c>
      <c r="AW23" s="288">
        <f>(AW20*'Исходные данные'!$C$6)/12</f>
        <v>458757.0621468926</v>
      </c>
      <c r="AX23" s="348">
        <f t="shared" ref="AX23:AX32" si="29">SUM(AL23:AW23)</f>
        <v>5275706.2146892659</v>
      </c>
      <c r="AY23" s="98">
        <f>(AY20*'Исходные данные'!$C$6)/12</f>
        <v>458757.0621468926</v>
      </c>
      <c r="AZ23" s="247">
        <f>(AZ20*'Исходные данные'!$C$6)/12</f>
        <v>458757.0621468926</v>
      </c>
      <c r="BA23" s="247">
        <f>(BA20*'Исходные данные'!$C$6)/12</f>
        <v>573446.32768361573</v>
      </c>
      <c r="BB23" s="247">
        <f>(BB20*'Исходные данные'!$C$6)/12</f>
        <v>573446.32768361573</v>
      </c>
      <c r="BC23" s="247">
        <f>(BC20*'Исходные данные'!$C$6)/12</f>
        <v>573446.32768361573</v>
      </c>
      <c r="BD23" s="247">
        <f>(BD20*'Исходные данные'!$C$6)/12</f>
        <v>573446.32768361573</v>
      </c>
      <c r="BE23" s="247">
        <f>(BE20*'Исходные данные'!$C$6)/12</f>
        <v>573446.32768361573</v>
      </c>
      <c r="BF23" s="247">
        <f>(BF20*'Исходные данные'!$C$6)/12</f>
        <v>573446.32768361573</v>
      </c>
      <c r="BG23" s="247">
        <f>(BG20*'Исходные данные'!$C$6)/12</f>
        <v>573446.32768361573</v>
      </c>
      <c r="BH23" s="247">
        <f>(BH20*'Исходные данные'!$C$6)/12</f>
        <v>573446.32768361573</v>
      </c>
      <c r="BI23" s="247">
        <f>(BI20*'Исходные данные'!$C$6)/12</f>
        <v>573446.32768361573</v>
      </c>
      <c r="BJ23" s="288">
        <f>(BJ20*'Исходные данные'!$C$6)/12</f>
        <v>573446.32768361573</v>
      </c>
      <c r="BK23" s="348">
        <f t="shared" ref="BK23:BK32" si="30">SUM(AY23:BJ23)</f>
        <v>6651977.4011299415</v>
      </c>
    </row>
    <row r="24" spans="1:63" s="194" customFormat="1" ht="12" customHeight="1">
      <c r="A24" s="280" t="s">
        <v>227</v>
      </c>
      <c r="B24" s="281" t="s">
        <v>16</v>
      </c>
      <c r="C24" s="289">
        <f t="shared" si="25"/>
        <v>20050000</v>
      </c>
      <c r="D24" s="317">
        <v>500000</v>
      </c>
      <c r="E24" s="304">
        <v>400000</v>
      </c>
      <c r="F24" s="304">
        <v>350000</v>
      </c>
      <c r="G24" s="304">
        <f t="shared" ref="G24:J24" si="31">F24</f>
        <v>350000</v>
      </c>
      <c r="H24" s="304">
        <f t="shared" si="31"/>
        <v>350000</v>
      </c>
      <c r="I24" s="304">
        <f t="shared" si="31"/>
        <v>350000</v>
      </c>
      <c r="J24" s="304">
        <f t="shared" si="31"/>
        <v>350000</v>
      </c>
      <c r="K24" s="154">
        <f t="shared" si="26"/>
        <v>2650000</v>
      </c>
      <c r="L24" s="324">
        <f>J24</f>
        <v>350000</v>
      </c>
      <c r="M24" s="329">
        <f>L24</f>
        <v>350000</v>
      </c>
      <c r="N24" s="329">
        <f t="shared" ref="N24:W24" si="32">L24</f>
        <v>350000</v>
      </c>
      <c r="O24" s="329">
        <f t="shared" si="32"/>
        <v>350000</v>
      </c>
      <c r="P24" s="329">
        <f t="shared" si="32"/>
        <v>350000</v>
      </c>
      <c r="Q24" s="329">
        <f t="shared" si="32"/>
        <v>350000</v>
      </c>
      <c r="R24" s="329">
        <f t="shared" si="32"/>
        <v>350000</v>
      </c>
      <c r="S24" s="329">
        <f t="shared" si="32"/>
        <v>350000</v>
      </c>
      <c r="T24" s="329">
        <f t="shared" si="32"/>
        <v>350000</v>
      </c>
      <c r="U24" s="329">
        <f t="shared" si="32"/>
        <v>350000</v>
      </c>
      <c r="V24" s="329">
        <f t="shared" si="32"/>
        <v>350000</v>
      </c>
      <c r="W24" s="406">
        <f t="shared" si="32"/>
        <v>350000</v>
      </c>
      <c r="X24" s="346">
        <f t="shared" si="27"/>
        <v>4200000</v>
      </c>
      <c r="Y24" s="428">
        <v>500000</v>
      </c>
      <c r="Z24" s="429">
        <f>Y24</f>
        <v>500000</v>
      </c>
      <c r="AA24" s="429">
        <f t="shared" ref="AA24:AJ24" si="33">Z24</f>
        <v>500000</v>
      </c>
      <c r="AB24" s="429">
        <f t="shared" si="33"/>
        <v>500000</v>
      </c>
      <c r="AC24" s="429">
        <f t="shared" si="33"/>
        <v>500000</v>
      </c>
      <c r="AD24" s="429">
        <f t="shared" si="33"/>
        <v>500000</v>
      </c>
      <c r="AE24" s="429">
        <f t="shared" si="33"/>
        <v>500000</v>
      </c>
      <c r="AF24" s="429">
        <f t="shared" si="33"/>
        <v>500000</v>
      </c>
      <c r="AG24" s="429">
        <f t="shared" si="33"/>
        <v>500000</v>
      </c>
      <c r="AH24" s="429">
        <f t="shared" si="33"/>
        <v>500000</v>
      </c>
      <c r="AI24" s="429">
        <f t="shared" si="33"/>
        <v>500000</v>
      </c>
      <c r="AJ24" s="289">
        <f t="shared" si="33"/>
        <v>500000</v>
      </c>
      <c r="AK24" s="346">
        <f t="shared" si="28"/>
        <v>6000000</v>
      </c>
      <c r="AL24" s="428">
        <v>600000</v>
      </c>
      <c r="AM24" s="429">
        <f>AL24</f>
        <v>600000</v>
      </c>
      <c r="AN24" s="429">
        <f t="shared" ref="AN24:AV24" si="34">AM24</f>
        <v>600000</v>
      </c>
      <c r="AO24" s="429">
        <f t="shared" si="34"/>
        <v>600000</v>
      </c>
      <c r="AP24" s="429">
        <f t="shared" si="34"/>
        <v>600000</v>
      </c>
      <c r="AQ24" s="429">
        <f t="shared" si="34"/>
        <v>600000</v>
      </c>
      <c r="AR24" s="429">
        <f t="shared" si="34"/>
        <v>600000</v>
      </c>
      <c r="AS24" s="429">
        <f t="shared" si="34"/>
        <v>600000</v>
      </c>
      <c r="AT24" s="429">
        <f t="shared" si="34"/>
        <v>600000</v>
      </c>
      <c r="AU24" s="429">
        <f t="shared" si="34"/>
        <v>600000</v>
      </c>
      <c r="AV24" s="429">
        <f t="shared" si="34"/>
        <v>600000</v>
      </c>
      <c r="AW24" s="289">
        <f>AP24</f>
        <v>600000</v>
      </c>
      <c r="AX24" s="348">
        <f t="shared" si="29"/>
        <v>7200000</v>
      </c>
      <c r="AY24" s="428">
        <v>800000</v>
      </c>
      <c r="AZ24" s="429">
        <f>AY24</f>
        <v>800000</v>
      </c>
      <c r="BA24" s="429">
        <f t="shared" ref="BA24:BE24" si="35">AZ24</f>
        <v>800000</v>
      </c>
      <c r="BB24" s="429">
        <f t="shared" si="35"/>
        <v>800000</v>
      </c>
      <c r="BC24" s="429">
        <f t="shared" si="35"/>
        <v>800000</v>
      </c>
      <c r="BD24" s="429">
        <f t="shared" si="35"/>
        <v>800000</v>
      </c>
      <c r="BE24" s="429">
        <f t="shared" si="35"/>
        <v>800000</v>
      </c>
      <c r="BF24" s="429">
        <f>BE24</f>
        <v>800000</v>
      </c>
      <c r="BG24" s="429">
        <f t="shared" ref="BG24:BI24" si="36">BF24</f>
        <v>800000</v>
      </c>
      <c r="BH24" s="429">
        <f t="shared" si="36"/>
        <v>800000</v>
      </c>
      <c r="BI24" s="429">
        <f t="shared" si="36"/>
        <v>800000</v>
      </c>
      <c r="BJ24" s="289">
        <f>BC24</f>
        <v>800000</v>
      </c>
      <c r="BK24" s="348">
        <f t="shared" si="30"/>
        <v>9600000</v>
      </c>
    </row>
    <row r="25" spans="1:63" s="194" customFormat="1" ht="13.2">
      <c r="A25" s="179" t="s">
        <v>67</v>
      </c>
      <c r="B25" s="169" t="s">
        <v>16</v>
      </c>
      <c r="C25" s="290">
        <f t="shared" si="25"/>
        <v>5400000</v>
      </c>
      <c r="D25" s="313">
        <v>0</v>
      </c>
      <c r="E25" s="299">
        <f>('Исходные данные'!$C$8/12)*Расчёты!E7</f>
        <v>50000</v>
      </c>
      <c r="F25" s="55">
        <f>('Исходные данные'!$C$8/12)*Расчёты!F7</f>
        <v>50000</v>
      </c>
      <c r="G25" s="55">
        <f>('Исходные данные'!$C$8/12)*Расчёты!G7</f>
        <v>50000</v>
      </c>
      <c r="H25" s="55">
        <f>('Исходные данные'!$C$8/12)*Расчёты!H7</f>
        <v>50000</v>
      </c>
      <c r="I25" s="55">
        <f>('Исходные данные'!$C$8/12)*Расчёты!I7</f>
        <v>50000</v>
      </c>
      <c r="J25" s="64">
        <f>('Исходные данные'!$C$8/12)*Расчёты!J7</f>
        <v>50000</v>
      </c>
      <c r="K25" s="154">
        <f t="shared" si="26"/>
        <v>300000</v>
      </c>
      <c r="L25" s="325">
        <f>('Исходные данные'!$C$8/12)*Расчёты!L7</f>
        <v>50000</v>
      </c>
      <c r="M25" s="55">
        <f>('Исходные данные'!$C$8/12)*Расчёты!M7</f>
        <v>75000</v>
      </c>
      <c r="N25" s="55">
        <f>('Исходные данные'!$C$8/12)*Расчёты!N7</f>
        <v>75000</v>
      </c>
      <c r="O25" s="55">
        <f>('Исходные данные'!$C$8/12)*Расчёты!O7</f>
        <v>75000</v>
      </c>
      <c r="P25" s="55">
        <f>('Исходные данные'!$C$8/12)*Расчёты!P7</f>
        <v>75000</v>
      </c>
      <c r="Q25" s="55">
        <f>('Исходные данные'!$C$8/12)*Расчёты!Q7</f>
        <v>75000</v>
      </c>
      <c r="R25" s="55">
        <f>('Исходные данные'!$C$8/12)*Расчёты!R7</f>
        <v>75000</v>
      </c>
      <c r="S25" s="55">
        <f>('Исходные данные'!$C$8/12)*Расчёты!S7</f>
        <v>100000</v>
      </c>
      <c r="T25" s="55">
        <f>('Исходные данные'!$C$8/12)*Расчёты!T7</f>
        <v>100000</v>
      </c>
      <c r="U25" s="55">
        <f>('Исходные данные'!$C$8/12)*Расчёты!U7</f>
        <v>100000</v>
      </c>
      <c r="V25" s="305">
        <f>('Исходные данные'!$C$8/12)*Расчёты!V7</f>
        <v>100000</v>
      </c>
      <c r="W25" s="404">
        <f>('Исходные данные'!$C$8/12)*Расчёты!W7</f>
        <v>100000</v>
      </c>
      <c r="X25" s="346">
        <f t="shared" si="27"/>
        <v>1000000</v>
      </c>
      <c r="Y25" s="139">
        <f>('Исходные данные'!$C$8/12)*Расчёты!Y7</f>
        <v>100000</v>
      </c>
      <c r="Z25" s="55">
        <f>('Исходные данные'!$C$8/12)*Расчёты!Z7</f>
        <v>150000</v>
      </c>
      <c r="AA25" s="55">
        <f>('Исходные данные'!$C$8/12)*Расчёты!AA7</f>
        <v>150000</v>
      </c>
      <c r="AB25" s="55">
        <f>('Исходные данные'!$C$8/12)*Расчёты!AB7</f>
        <v>150000</v>
      </c>
      <c r="AC25" s="55">
        <f>('Исходные данные'!$C$8/12)*Расчёты!AC7</f>
        <v>150000</v>
      </c>
      <c r="AD25" s="55">
        <f>('Исходные данные'!$C$8/12)*Расчёты!AD7</f>
        <v>150000</v>
      </c>
      <c r="AE25" s="55">
        <f>('Исходные данные'!$C$8/12)*Расчёты!AE7</f>
        <v>150000</v>
      </c>
      <c r="AF25" s="55">
        <f>('Исходные данные'!$C$8/12)*Расчёты!AF7</f>
        <v>150000</v>
      </c>
      <c r="AG25" s="55">
        <f>('Исходные данные'!$C$8/12)*Расчёты!AG7</f>
        <v>150000</v>
      </c>
      <c r="AH25" s="55">
        <f>('Исходные данные'!$C$8/12)*Расчёты!AH7</f>
        <v>150000</v>
      </c>
      <c r="AI25" s="55">
        <f>('Исходные данные'!$C$8/12)*Расчёты!AI7</f>
        <v>150000</v>
      </c>
      <c r="AJ25" s="286">
        <f>('Исходные данные'!$C$8/12)*Расчёты!AJ7</f>
        <v>150000</v>
      </c>
      <c r="AK25" s="346">
        <f t="shared" si="28"/>
        <v>1750000</v>
      </c>
      <c r="AL25" s="139">
        <f>('Исходные данные'!$C$8/12)*Расчёты!AL7</f>
        <v>150000</v>
      </c>
      <c r="AM25" s="55">
        <f>('Исходные данные'!$C$8/12)*Расчёты!AM7</f>
        <v>200000</v>
      </c>
      <c r="AN25" s="55">
        <f>('Исходные данные'!$C$8/12)*Расчёты!AN7</f>
        <v>200000</v>
      </c>
      <c r="AO25" s="55">
        <f>('Исходные данные'!$C$8/12)*Расчёты!AO7</f>
        <v>200000</v>
      </c>
      <c r="AP25" s="55">
        <f>('Исходные данные'!$C$8/12)*Расчёты!AP7</f>
        <v>200000</v>
      </c>
      <c r="AQ25" s="55">
        <f>('Исходные данные'!$C$8/12)*Расчёты!AQ7</f>
        <v>200000</v>
      </c>
      <c r="AR25" s="55">
        <f>('Исходные данные'!$C$8/12)*Расчёты!AR7</f>
        <v>200000</v>
      </c>
      <c r="AS25" s="55">
        <f>('Исходные данные'!$C$8/12)*Расчёты!AS7</f>
        <v>200000</v>
      </c>
      <c r="AT25" s="55">
        <f>('Исходные данные'!$C$8/12)*Расчёты!AT7</f>
        <v>200000</v>
      </c>
      <c r="AU25" s="55">
        <f>('Исходные данные'!$C$8/12)*Расчёты!AU7</f>
        <v>200000</v>
      </c>
      <c r="AV25" s="55">
        <f>('Исходные данные'!$C$8/12)*Расчёты!AV7</f>
        <v>200000</v>
      </c>
      <c r="AW25" s="286">
        <f>('Исходные данные'!$C$8/12)*Расчёты!AW7</f>
        <v>200000</v>
      </c>
      <c r="AX25" s="348">
        <f t="shared" si="29"/>
        <v>2350000</v>
      </c>
      <c r="AY25" s="139">
        <f>('Исходные данные'!$C$8/12)*Расчёты!AY7</f>
        <v>200000</v>
      </c>
      <c r="AZ25" s="55">
        <f>('Исходные данные'!$C$8/12)*Расчёты!AZ7</f>
        <v>250000</v>
      </c>
      <c r="BA25" s="55">
        <f>('Исходные данные'!$C$8/12)*Расчёты!BA7</f>
        <v>250000</v>
      </c>
      <c r="BB25" s="55">
        <f>('Исходные данные'!$C$8/12)*Расчёты!BB7</f>
        <v>200000</v>
      </c>
      <c r="BC25" s="55">
        <f>('Исходные данные'!$C$8/12)*Расчёты!BC7</f>
        <v>250000</v>
      </c>
      <c r="BD25" s="55">
        <f>('Исходные данные'!$C$8/12)*Расчёты!BD7</f>
        <v>250000</v>
      </c>
      <c r="BE25" s="55">
        <f>('Исходные данные'!$C$8/12)*Расчёты!BE7</f>
        <v>250000</v>
      </c>
      <c r="BF25" s="55">
        <f>('Исходные данные'!$C$8/12)*Расчёты!BF7</f>
        <v>250000</v>
      </c>
      <c r="BG25" s="55">
        <f>('Исходные данные'!$C$8/12)*Расчёты!BG7</f>
        <v>250000</v>
      </c>
      <c r="BH25" s="55">
        <f>('Исходные данные'!$C$8/12)*Расчёты!BH7</f>
        <v>250000</v>
      </c>
      <c r="BI25" s="55">
        <f>('Исходные данные'!$C$8/12)*Расчёты!BI7</f>
        <v>250000</v>
      </c>
      <c r="BJ25" s="286">
        <f>('Исходные данные'!$C$8/12)*Расчёты!BJ7</f>
        <v>250000</v>
      </c>
      <c r="BK25" s="348">
        <f t="shared" si="30"/>
        <v>2900000</v>
      </c>
    </row>
    <row r="26" spans="1:63" s="194" customFormat="1" ht="13.2">
      <c r="A26" s="179" t="s">
        <v>68</v>
      </c>
      <c r="B26" s="169" t="s">
        <v>16</v>
      </c>
      <c r="C26" s="290">
        <f t="shared" si="25"/>
        <v>18000000</v>
      </c>
      <c r="D26" s="313">
        <v>0</v>
      </c>
      <c r="E26" s="299">
        <f>E11*'Исходные данные'!$C$9</f>
        <v>200000</v>
      </c>
      <c r="F26" s="55">
        <f>F11*'Исходные данные'!$C$9</f>
        <v>400000</v>
      </c>
      <c r="G26" s="55">
        <f>G11*'Исходные данные'!$C$9</f>
        <v>800000</v>
      </c>
      <c r="H26" s="55">
        <f>H11*'Исходные данные'!$C$9</f>
        <v>1000000</v>
      </c>
      <c r="I26" s="55">
        <f>I11*'Исходные данные'!$C$9</f>
        <v>1200000</v>
      </c>
      <c r="J26" s="64">
        <f>J11*'Исходные данные'!$C$9</f>
        <v>1200000</v>
      </c>
      <c r="K26" s="154">
        <f t="shared" si="26"/>
        <v>4800000</v>
      </c>
      <c r="L26" s="325">
        <f>L11*'Исходные данные'!$C$9</f>
        <v>1200000</v>
      </c>
      <c r="M26" s="55">
        <f>M11*'Исходные данные'!$C$9</f>
        <v>1200000</v>
      </c>
      <c r="N26" s="55">
        <f>N11*'Исходные данные'!$C$9</f>
        <v>1200000</v>
      </c>
      <c r="O26" s="55">
        <f>O11*'Исходные данные'!$C$9</f>
        <v>1200000</v>
      </c>
      <c r="P26" s="55">
        <f>P11*'Исходные данные'!$C$9</f>
        <v>1200000</v>
      </c>
      <c r="Q26" s="55">
        <f>Q11*'Исходные данные'!$C$9</f>
        <v>1200000</v>
      </c>
      <c r="R26" s="55">
        <f>R11*'Исходные данные'!$C$9</f>
        <v>1200000</v>
      </c>
      <c r="S26" s="55">
        <f>S11*'Исходные данные'!$C$9</f>
        <v>1200000</v>
      </c>
      <c r="T26" s="55">
        <f>T11*'Исходные данные'!$C$9</f>
        <v>600000</v>
      </c>
      <c r="U26" s="55">
        <f>U11*'Исходные данные'!$C$9</f>
        <v>600000</v>
      </c>
      <c r="V26" s="305">
        <f>V11*'Исходные данные'!$C$9</f>
        <v>600000</v>
      </c>
      <c r="W26" s="404">
        <f>W11*'Исходные данные'!$C$9</f>
        <v>600000</v>
      </c>
      <c r="X26" s="346">
        <f t="shared" si="27"/>
        <v>12000000</v>
      </c>
      <c r="Y26" s="139">
        <f>Y11*'Исходные данные'!$C$9</f>
        <v>600000</v>
      </c>
      <c r="Z26" s="55">
        <f>Z11*'Исходные данные'!$C$9</f>
        <v>600000</v>
      </c>
      <c r="AA26" s="55">
        <f>AA11*'Исходные данные'!$C$9</f>
        <v>0</v>
      </c>
      <c r="AB26" s="55">
        <f>AB11*'Исходные данные'!$C$9</f>
        <v>0</v>
      </c>
      <c r="AC26" s="55">
        <f>AC11*'Исходные данные'!$C$9</f>
        <v>0</v>
      </c>
      <c r="AD26" s="55">
        <f>AD11*'Исходные данные'!$C$9</f>
        <v>0</v>
      </c>
      <c r="AE26" s="55">
        <f>AE11*'Исходные данные'!$C$9</f>
        <v>0</v>
      </c>
      <c r="AF26" s="55">
        <f>AF11*'Исходные данные'!$C$9</f>
        <v>0</v>
      </c>
      <c r="AG26" s="55">
        <f>AG11*'Исходные данные'!$C$9</f>
        <v>0</v>
      </c>
      <c r="AH26" s="55">
        <f>AH11*'Исходные данные'!$C$9</f>
        <v>0</v>
      </c>
      <c r="AI26" s="55">
        <f>AI11*'Исходные данные'!$C$9</f>
        <v>0</v>
      </c>
      <c r="AJ26" s="286">
        <f>AJ11*'Исходные данные'!$C$9</f>
        <v>0</v>
      </c>
      <c r="AK26" s="346">
        <f t="shared" si="28"/>
        <v>1200000</v>
      </c>
      <c r="AL26" s="139">
        <f>AL11*'Исходные данные'!$C$9</f>
        <v>0</v>
      </c>
      <c r="AM26" s="55">
        <f>AM11*'Исходные данные'!$C$9</f>
        <v>0</v>
      </c>
      <c r="AN26" s="55">
        <f>AN11*'Исходные данные'!$C$9</f>
        <v>0</v>
      </c>
      <c r="AO26" s="55">
        <f>AO11*'Исходные данные'!$C$9</f>
        <v>0</v>
      </c>
      <c r="AP26" s="55">
        <f>AP11*'Исходные данные'!$C$9</f>
        <v>0</v>
      </c>
      <c r="AQ26" s="55">
        <f>AQ11*'Исходные данные'!$C$9</f>
        <v>0</v>
      </c>
      <c r="AR26" s="55">
        <f>AR11*'Исходные данные'!$C$9</f>
        <v>0</v>
      </c>
      <c r="AS26" s="55">
        <f>AS11*'Исходные данные'!$C$9</f>
        <v>0</v>
      </c>
      <c r="AT26" s="55">
        <f>AT11*'Исходные данные'!$C$9</f>
        <v>0</v>
      </c>
      <c r="AU26" s="55">
        <f>AU11*'Исходные данные'!$C$9</f>
        <v>0</v>
      </c>
      <c r="AV26" s="55">
        <f>AV11*'Исходные данные'!$C$9</f>
        <v>0</v>
      </c>
      <c r="AW26" s="286">
        <f>AW11*'Исходные данные'!$C$9</f>
        <v>0</v>
      </c>
      <c r="AX26" s="348">
        <f t="shared" si="29"/>
        <v>0</v>
      </c>
      <c r="AY26" s="139">
        <f>AY11*'Исходные данные'!$C$9</f>
        <v>0</v>
      </c>
      <c r="AZ26" s="55">
        <f>AZ11*'Исходные данные'!$C$9</f>
        <v>0</v>
      </c>
      <c r="BA26" s="55">
        <f>BA11*'Исходные данные'!$C$9</f>
        <v>0</v>
      </c>
      <c r="BB26" s="55">
        <f>BB11*'Исходные данные'!$C$9</f>
        <v>0</v>
      </c>
      <c r="BC26" s="55">
        <f>BC11*'Исходные данные'!$C$9</f>
        <v>0</v>
      </c>
      <c r="BD26" s="55">
        <f>BD11*'Исходные данные'!$C$9</f>
        <v>0</v>
      </c>
      <c r="BE26" s="55">
        <f>BE11*'Исходные данные'!$C$9</f>
        <v>0</v>
      </c>
      <c r="BF26" s="55">
        <f>BF11*'Исходные данные'!$C$9</f>
        <v>0</v>
      </c>
      <c r="BG26" s="55">
        <f>BG11*'Исходные данные'!$C$9</f>
        <v>0</v>
      </c>
      <c r="BH26" s="55">
        <f>BH11*'Исходные данные'!$C$9</f>
        <v>0</v>
      </c>
      <c r="BI26" s="55">
        <f>BI11*'Исходные данные'!$C$9</f>
        <v>0</v>
      </c>
      <c r="BJ26" s="286">
        <f>BJ11*'Исходные данные'!$C$9</f>
        <v>0</v>
      </c>
      <c r="BK26" s="348">
        <f t="shared" si="30"/>
        <v>0</v>
      </c>
    </row>
    <row r="27" spans="1:63" s="194" customFormat="1" ht="13.2">
      <c r="A27" s="179" t="s">
        <v>69</v>
      </c>
      <c r="B27" s="169" t="s">
        <v>16</v>
      </c>
      <c r="C27" s="290">
        <f t="shared" si="25"/>
        <v>42840000</v>
      </c>
      <c r="D27" s="313">
        <v>0</v>
      </c>
      <c r="E27" s="299">
        <f>E13*'Исходные данные'!$C$10</f>
        <v>70000</v>
      </c>
      <c r="F27" s="55">
        <f>F13*'Исходные данные'!$C$10</f>
        <v>140000</v>
      </c>
      <c r="G27" s="55">
        <f>G13*'Исходные данные'!$C$10</f>
        <v>280000</v>
      </c>
      <c r="H27" s="55">
        <f>H13*'Исходные данные'!$C$10</f>
        <v>350000</v>
      </c>
      <c r="I27" s="55">
        <f>I13*'Исходные данные'!$C$10</f>
        <v>420000</v>
      </c>
      <c r="J27" s="64">
        <f>J13*'Исходные данные'!$C$10</f>
        <v>420000</v>
      </c>
      <c r="K27" s="154">
        <f t="shared" si="26"/>
        <v>1680000</v>
      </c>
      <c r="L27" s="325">
        <f>L13*'Исходные данные'!$C$10</f>
        <v>420000</v>
      </c>
      <c r="M27" s="55">
        <f>M13*'Исходные данные'!$C$10</f>
        <v>420000</v>
      </c>
      <c r="N27" s="55">
        <f>N13*'Исходные данные'!$C$10</f>
        <v>630000</v>
      </c>
      <c r="O27" s="55">
        <f>O13*'Исходные данные'!$C$10</f>
        <v>630000</v>
      </c>
      <c r="P27" s="55">
        <f>P13*'Исходные данные'!$C$10</f>
        <v>630000</v>
      </c>
      <c r="Q27" s="55">
        <f>Q13*'Исходные данные'!$C$10</f>
        <v>630000</v>
      </c>
      <c r="R27" s="55">
        <f>R13*'Исходные данные'!$C$10</f>
        <v>630000</v>
      </c>
      <c r="S27" s="55">
        <f>S13*'Исходные данные'!$C$10</f>
        <v>630000</v>
      </c>
      <c r="T27" s="55">
        <f>T13*'Исходные данные'!$C$10</f>
        <v>700000</v>
      </c>
      <c r="U27" s="55">
        <f>U13*'Исходные данные'!$C$10</f>
        <v>840000</v>
      </c>
      <c r="V27" s="305">
        <f>V13*'Исходные данные'!$C$10</f>
        <v>840000</v>
      </c>
      <c r="W27" s="404">
        <f>W13*'Исходные данные'!$C$10</f>
        <v>840000</v>
      </c>
      <c r="X27" s="346">
        <f t="shared" si="27"/>
        <v>7840000</v>
      </c>
      <c r="Y27" s="139">
        <f>Y13*'Исходные данные'!$C$10</f>
        <v>840000</v>
      </c>
      <c r="Z27" s="55">
        <f>Z13*'Исходные данные'!$C$10</f>
        <v>840000</v>
      </c>
      <c r="AA27" s="55">
        <f>AA13*'Исходные данные'!$C$10</f>
        <v>1120000</v>
      </c>
      <c r="AB27" s="55">
        <f>AB13*'Исходные данные'!$C$10</f>
        <v>1260000</v>
      </c>
      <c r="AC27" s="55">
        <f>AC13*'Исходные данные'!$C$10</f>
        <v>1260000</v>
      </c>
      <c r="AD27" s="55">
        <f>AD13*'Исходные данные'!$C$10</f>
        <v>1260000</v>
      </c>
      <c r="AE27" s="55">
        <f>AE13*'Исходные данные'!$C$10</f>
        <v>1260000</v>
      </c>
      <c r="AF27" s="55">
        <f>AF13*'Исходные данные'!$C$10</f>
        <v>1260000</v>
      </c>
      <c r="AG27" s="55">
        <f>AG13*'Исходные данные'!$C$10</f>
        <v>1260000</v>
      </c>
      <c r="AH27" s="55">
        <f>AH13*'Исходные данные'!$C$10</f>
        <v>1260000</v>
      </c>
      <c r="AI27" s="55">
        <f>AI13*'Исходные данные'!$C$10</f>
        <v>1260000</v>
      </c>
      <c r="AJ27" s="286">
        <f>AJ13*'Исходные данные'!$C$10</f>
        <v>1260000</v>
      </c>
      <c r="AK27" s="346">
        <f t="shared" si="28"/>
        <v>14140000</v>
      </c>
      <c r="AL27" s="139">
        <f>AL13*'Исходные данные'!$C$10</f>
        <v>1260000</v>
      </c>
      <c r="AM27" s="55">
        <f>AM13*'Исходные данные'!$C$10</f>
        <v>1260000</v>
      </c>
      <c r="AN27" s="55">
        <f>AN13*'Исходные данные'!$C$10</f>
        <v>1540000</v>
      </c>
      <c r="AO27" s="55">
        <f>AO13*'Исходные данные'!$C$10</f>
        <v>1680000</v>
      </c>
      <c r="AP27" s="55">
        <f>AP13*'Исходные данные'!$C$10</f>
        <v>1680000</v>
      </c>
      <c r="AQ27" s="55">
        <f>AQ13*'Исходные данные'!$C$10</f>
        <v>1680000</v>
      </c>
      <c r="AR27" s="55">
        <f>AR13*'Исходные данные'!$C$10</f>
        <v>1680000</v>
      </c>
      <c r="AS27" s="55">
        <f>AS13*'Исходные данные'!$C$10</f>
        <v>1680000</v>
      </c>
      <c r="AT27" s="55">
        <f>AT13*'Исходные данные'!$C$10</f>
        <v>1680000</v>
      </c>
      <c r="AU27" s="55">
        <f>AU13*'Исходные данные'!$C$10</f>
        <v>1680000</v>
      </c>
      <c r="AV27" s="55">
        <f>AV13*'Исходные данные'!$C$10</f>
        <v>1680000</v>
      </c>
      <c r="AW27" s="286">
        <f>AW13*'Исходные данные'!$C$10</f>
        <v>1680000</v>
      </c>
      <c r="AX27" s="348">
        <f t="shared" si="29"/>
        <v>19180000</v>
      </c>
      <c r="AY27" s="139">
        <f>AY13*'Исходные данные'!$C$10</f>
        <v>1680000</v>
      </c>
      <c r="AZ27" s="55">
        <f>AZ13*'Исходные данные'!$C$10</f>
        <v>1680000</v>
      </c>
      <c r="BA27" s="55">
        <f>BA13*'Исходные данные'!$C$10</f>
        <v>2100000</v>
      </c>
      <c r="BB27" s="55">
        <f>BB13*'Исходные данные'!$C$10</f>
        <v>2100000</v>
      </c>
      <c r="BC27" s="55">
        <f>BC13*'Исходные данные'!$C$10</f>
        <v>2100000</v>
      </c>
      <c r="BD27" s="55">
        <f>BD13*'Исходные данные'!$C$10</f>
        <v>2100000</v>
      </c>
      <c r="BE27" s="55">
        <f>BE13*'Исходные данные'!$C$10</f>
        <v>2100000</v>
      </c>
      <c r="BF27" s="55">
        <f>BF13*'Исходные данные'!$C$10</f>
        <v>2100000</v>
      </c>
      <c r="BG27" s="55">
        <f>BG13*'Исходные данные'!$C$10</f>
        <v>2100000</v>
      </c>
      <c r="BH27" s="55">
        <f>BH13*'Исходные данные'!$C$10</f>
        <v>2100000</v>
      </c>
      <c r="BI27" s="55">
        <f>BI13*'Исходные данные'!$C$10</f>
        <v>2100000</v>
      </c>
      <c r="BJ27" s="286">
        <f>BJ13*'Исходные данные'!$C$10</f>
        <v>2100000</v>
      </c>
      <c r="BK27" s="348">
        <f t="shared" si="30"/>
        <v>24360000</v>
      </c>
    </row>
    <row r="28" spans="1:63" s="194" customFormat="1" ht="13.2">
      <c r="A28" s="349" t="s">
        <v>237</v>
      </c>
      <c r="B28" s="169" t="s">
        <v>16</v>
      </c>
      <c r="C28" s="290">
        <f t="shared" si="25"/>
        <v>30039400</v>
      </c>
      <c r="D28" s="318">
        <f>База!$G$55+База!$G$68+База!G19/2+База!G40/2</f>
        <v>2200500</v>
      </c>
      <c r="E28" s="305">
        <f>База!$G$55+База!$G$68+База!G19/2+База!G40/2</f>
        <v>2200500</v>
      </c>
      <c r="F28" s="55">
        <f>База!$G$55+База!$G$68</f>
        <v>632000</v>
      </c>
      <c r="G28" s="55">
        <f>База!$G$55+База!$G$68</f>
        <v>632000</v>
      </c>
      <c r="H28" s="55">
        <f>База!$G$55+База!$G$68</f>
        <v>632000</v>
      </c>
      <c r="I28" s="55">
        <f>База!$G$55+База!$G$68</f>
        <v>632000</v>
      </c>
      <c r="J28" s="55">
        <f>База!$G$55+База!$G$68</f>
        <v>632000</v>
      </c>
      <c r="K28" s="154">
        <f t="shared" si="26"/>
        <v>7561000</v>
      </c>
      <c r="L28" s="325">
        <f>База!$G$82+База!$G$94</f>
        <v>624400</v>
      </c>
      <c r="M28" s="55">
        <f t="shared" ref="M28:W28" si="37">L28</f>
        <v>624400</v>
      </c>
      <c r="N28" s="55">
        <f t="shared" si="37"/>
        <v>624400</v>
      </c>
      <c r="O28" s="55">
        <f t="shared" si="37"/>
        <v>624400</v>
      </c>
      <c r="P28" s="55">
        <f t="shared" si="37"/>
        <v>624400</v>
      </c>
      <c r="Q28" s="55">
        <f t="shared" si="37"/>
        <v>624400</v>
      </c>
      <c r="R28" s="55">
        <f t="shared" si="37"/>
        <v>624400</v>
      </c>
      <c r="S28" s="55">
        <f t="shared" si="37"/>
        <v>624400</v>
      </c>
      <c r="T28" s="55">
        <f t="shared" si="37"/>
        <v>624400</v>
      </c>
      <c r="U28" s="55">
        <f t="shared" si="37"/>
        <v>624400</v>
      </c>
      <c r="V28" s="305">
        <f t="shared" si="37"/>
        <v>624400</v>
      </c>
      <c r="W28" s="64">
        <f t="shared" si="37"/>
        <v>624400</v>
      </c>
      <c r="X28" s="154">
        <f t="shared" si="27"/>
        <v>7492800</v>
      </c>
      <c r="Y28" s="139">
        <f>W28</f>
        <v>624400</v>
      </c>
      <c r="Z28" s="55">
        <f t="shared" ref="Z28:AJ29" si="38">Y28</f>
        <v>624400</v>
      </c>
      <c r="AA28" s="55">
        <f t="shared" si="38"/>
        <v>624400</v>
      </c>
      <c r="AB28" s="55">
        <f t="shared" si="38"/>
        <v>624400</v>
      </c>
      <c r="AC28" s="55">
        <f t="shared" si="38"/>
        <v>624400</v>
      </c>
      <c r="AD28" s="55">
        <f t="shared" si="38"/>
        <v>624400</v>
      </c>
      <c r="AE28" s="55">
        <f t="shared" si="38"/>
        <v>624400</v>
      </c>
      <c r="AF28" s="55">
        <f t="shared" si="38"/>
        <v>624400</v>
      </c>
      <c r="AG28" s="55">
        <f t="shared" si="38"/>
        <v>624400</v>
      </c>
      <c r="AH28" s="55">
        <f t="shared" si="38"/>
        <v>624400</v>
      </c>
      <c r="AI28" s="55">
        <f t="shared" si="38"/>
        <v>624400</v>
      </c>
      <c r="AJ28" s="336">
        <f t="shared" si="38"/>
        <v>624400</v>
      </c>
      <c r="AK28" s="154">
        <f t="shared" si="28"/>
        <v>7492800</v>
      </c>
      <c r="AL28" s="139">
        <f>AJ28</f>
        <v>624400</v>
      </c>
      <c r="AM28" s="55">
        <f>AL28</f>
        <v>624400</v>
      </c>
      <c r="AN28" s="55">
        <f>AM28</f>
        <v>624400</v>
      </c>
      <c r="AO28" s="55">
        <f>AN28</f>
        <v>624400</v>
      </c>
      <c r="AP28" s="55">
        <f>AO28</f>
        <v>624400</v>
      </c>
      <c r="AQ28" s="55">
        <f t="shared" ref="AQ28:AV29" si="39">AP28</f>
        <v>624400</v>
      </c>
      <c r="AR28" s="55">
        <f t="shared" si="39"/>
        <v>624400</v>
      </c>
      <c r="AS28" s="55">
        <f t="shared" si="39"/>
        <v>624400</v>
      </c>
      <c r="AT28" s="55">
        <f t="shared" si="39"/>
        <v>624400</v>
      </c>
      <c r="AU28" s="55">
        <f t="shared" si="39"/>
        <v>624400</v>
      </c>
      <c r="AV28" s="55">
        <f t="shared" si="39"/>
        <v>624400</v>
      </c>
      <c r="AW28" s="336">
        <f>AP28</f>
        <v>624400</v>
      </c>
      <c r="AX28" s="245">
        <f t="shared" si="29"/>
        <v>7492800</v>
      </c>
      <c r="AY28" s="139">
        <f>AW28</f>
        <v>624400</v>
      </c>
      <c r="AZ28" s="55">
        <f>AY28</f>
        <v>624400</v>
      </c>
      <c r="BA28" s="55">
        <f>AZ28</f>
        <v>624400</v>
      </c>
      <c r="BB28" s="55">
        <f>BA28</f>
        <v>624400</v>
      </c>
      <c r="BC28" s="55">
        <f>BB28</f>
        <v>624400</v>
      </c>
      <c r="BD28" s="55">
        <f t="shared" ref="BD28:BI29" si="40">BC28</f>
        <v>624400</v>
      </c>
      <c r="BE28" s="55">
        <f t="shared" si="40"/>
        <v>624400</v>
      </c>
      <c r="BF28" s="55">
        <f t="shared" si="40"/>
        <v>624400</v>
      </c>
      <c r="BG28" s="55">
        <f t="shared" si="40"/>
        <v>624400</v>
      </c>
      <c r="BH28" s="55">
        <f t="shared" si="40"/>
        <v>624400</v>
      </c>
      <c r="BI28" s="55">
        <f t="shared" si="40"/>
        <v>624400</v>
      </c>
      <c r="BJ28" s="336">
        <f>BC28</f>
        <v>624400</v>
      </c>
      <c r="BK28" s="245">
        <f t="shared" si="30"/>
        <v>7492800</v>
      </c>
    </row>
    <row r="29" spans="1:63" s="194" customFormat="1" ht="13.2">
      <c r="A29" s="179" t="s">
        <v>70</v>
      </c>
      <c r="B29" s="169" t="s">
        <v>16</v>
      </c>
      <c r="C29" s="290">
        <f t="shared" si="25"/>
        <v>10614530.82424242</v>
      </c>
      <c r="D29" s="313">
        <f>Транспорт!$G$30</f>
        <v>19235.842424242423</v>
      </c>
      <c r="E29" s="299">
        <f>Транспорт!$G$30</f>
        <v>19235.842424242423</v>
      </c>
      <c r="F29" s="55">
        <f>Транспорт!$G$30</f>
        <v>19235.842424242423</v>
      </c>
      <c r="G29" s="55">
        <f>Транспорт!$G$30</f>
        <v>19235.842424242423</v>
      </c>
      <c r="H29" s="55">
        <f>Транспорт!$G$30</f>
        <v>19235.842424242423</v>
      </c>
      <c r="I29" s="55">
        <f>Транспорт!$G$30</f>
        <v>19235.842424242423</v>
      </c>
      <c r="J29" s="64">
        <f>Транспорт!$G$30</f>
        <v>19235.842424242423</v>
      </c>
      <c r="K29" s="154">
        <f t="shared" si="26"/>
        <v>134650.89696969697</v>
      </c>
      <c r="L29" s="326">
        <f>Транспорт!$G$30</f>
        <v>19235.842424242423</v>
      </c>
      <c r="M29" s="330">
        <f>Транспорт!$G$30</f>
        <v>19235.842424242423</v>
      </c>
      <c r="N29" s="331">
        <f>($M$29+(Транспорт!$G$30*Расчёты!$M$9))+(Транспорт!$G$55*Расчёты!$L$10)</f>
        <v>86868.41212121211</v>
      </c>
      <c r="O29" s="55">
        <f>N29</f>
        <v>86868.41212121211</v>
      </c>
      <c r="P29" s="55">
        <f>O29</f>
        <v>86868.41212121211</v>
      </c>
      <c r="Q29" s="55">
        <f>P29</f>
        <v>86868.41212121211</v>
      </c>
      <c r="R29" s="55">
        <f>Q29</f>
        <v>86868.41212121211</v>
      </c>
      <c r="S29" s="55">
        <f>R29</f>
        <v>86868.41212121211</v>
      </c>
      <c r="T29" s="55">
        <f>S29+(Транспорт!G55*Расчёты!R10)</f>
        <v>183661.86666666664</v>
      </c>
      <c r="U29" s="55">
        <f>T29</f>
        <v>183661.86666666664</v>
      </c>
      <c r="V29" s="305">
        <f>U29</f>
        <v>183661.86666666664</v>
      </c>
      <c r="W29" s="64">
        <f>V29</f>
        <v>183661.86666666664</v>
      </c>
      <c r="X29" s="154">
        <f t="shared" si="27"/>
        <v>1294329.6242424243</v>
      </c>
      <c r="Y29" s="139">
        <f>W29</f>
        <v>183661.86666666664</v>
      </c>
      <c r="Z29" s="55">
        <f>Y29</f>
        <v>183661.86666666664</v>
      </c>
      <c r="AA29" s="55">
        <f>(Z29+(Транспорт!G30*Расчёты!Z9))+(Транспорт!G55*Расчёты!Y10)</f>
        <v>348087.89090909087</v>
      </c>
      <c r="AB29" s="55">
        <f t="shared" si="38"/>
        <v>348087.89090909087</v>
      </c>
      <c r="AC29" s="55">
        <f t="shared" si="38"/>
        <v>348087.89090909087</v>
      </c>
      <c r="AD29" s="55">
        <f t="shared" si="38"/>
        <v>348087.89090909087</v>
      </c>
      <c r="AE29" s="55">
        <f t="shared" si="38"/>
        <v>348087.89090909087</v>
      </c>
      <c r="AF29" s="55">
        <f t="shared" si="38"/>
        <v>348087.89090909087</v>
      </c>
      <c r="AG29" s="55">
        <f t="shared" si="38"/>
        <v>348087.89090909087</v>
      </c>
      <c r="AH29" s="55">
        <f t="shared" si="38"/>
        <v>348087.89090909087</v>
      </c>
      <c r="AI29" s="55">
        <f t="shared" si="38"/>
        <v>348087.89090909087</v>
      </c>
      <c r="AJ29" s="336">
        <f t="shared" si="38"/>
        <v>348087.89090909087</v>
      </c>
      <c r="AK29" s="154">
        <f t="shared" si="28"/>
        <v>3848202.6424242407</v>
      </c>
      <c r="AL29" s="139">
        <f>AJ29</f>
        <v>348087.89090909087</v>
      </c>
      <c r="AM29" s="55">
        <f>AL29</f>
        <v>348087.89090909087</v>
      </c>
      <c r="AN29" s="55">
        <f>(AM29+(Транспорт!G30*Расчёты!AM9))+(Транспорт!G55*Расчёты!AL10)</f>
        <v>464117.18787878781</v>
      </c>
      <c r="AO29" s="55">
        <f>AN29</f>
        <v>464117.18787878781</v>
      </c>
      <c r="AP29" s="55">
        <f>AO29</f>
        <v>464117.18787878781</v>
      </c>
      <c r="AQ29" s="55">
        <f t="shared" si="39"/>
        <v>464117.18787878781</v>
      </c>
      <c r="AR29" s="55">
        <f t="shared" si="39"/>
        <v>464117.18787878781</v>
      </c>
      <c r="AS29" s="55">
        <f t="shared" si="39"/>
        <v>464117.18787878781</v>
      </c>
      <c r="AT29" s="55">
        <f t="shared" si="39"/>
        <v>464117.18787878781</v>
      </c>
      <c r="AU29" s="55">
        <f t="shared" si="39"/>
        <v>464117.18787878781</v>
      </c>
      <c r="AV29" s="55">
        <f t="shared" si="39"/>
        <v>464117.18787878781</v>
      </c>
      <c r="AW29" s="336">
        <f>AP29</f>
        <v>464117.18787878781</v>
      </c>
      <c r="AX29" s="245">
        <f t="shared" si="29"/>
        <v>5337347.6606060592</v>
      </c>
      <c r="AY29" s="139">
        <f>AW29</f>
        <v>464117.18787878781</v>
      </c>
      <c r="AZ29" s="55">
        <f>AY29</f>
        <v>464117.18787878781</v>
      </c>
      <c r="BA29" s="55">
        <f>(AZ29+(Транспорт!T30*Расчёты!AZ9))+(Транспорт!T55*Расчёты!AY10)</f>
        <v>464117.18787878781</v>
      </c>
      <c r="BB29" s="55">
        <f>BA29</f>
        <v>464117.18787878781</v>
      </c>
      <c r="BC29" s="55">
        <f>BB29</f>
        <v>464117.18787878781</v>
      </c>
      <c r="BD29" s="55">
        <f t="shared" si="40"/>
        <v>464117.18787878781</v>
      </c>
      <c r="BE29" s="55">
        <f t="shared" si="40"/>
        <v>464117.18787878781</v>
      </c>
      <c r="BF29" s="55">
        <f t="shared" si="40"/>
        <v>464117.18787878781</v>
      </c>
      <c r="BG29" s="55">
        <f t="shared" si="40"/>
        <v>464117.18787878781</v>
      </c>
      <c r="BH29" s="55">
        <f t="shared" si="40"/>
        <v>464117.18787878781</v>
      </c>
      <c r="BI29" s="55">
        <f t="shared" si="40"/>
        <v>464117.18787878781</v>
      </c>
      <c r="BJ29" s="336">
        <f>BC29</f>
        <v>464117.18787878781</v>
      </c>
      <c r="BK29" s="245">
        <f t="shared" si="30"/>
        <v>5569406.2545454539</v>
      </c>
    </row>
    <row r="30" spans="1:63" s="194" customFormat="1" ht="13.2">
      <c r="A30" s="179" t="s">
        <v>71</v>
      </c>
      <c r="B30" s="169" t="s">
        <v>16</v>
      </c>
      <c r="C30" s="290">
        <f t="shared" si="25"/>
        <v>67160000</v>
      </c>
      <c r="D30" s="313">
        <f>Персонал!E26+(Персонал!E68*Расчёты!D7)</f>
        <v>1160000</v>
      </c>
      <c r="E30" s="299">
        <f t="shared" ref="E30:J30" si="41">D30</f>
        <v>1160000</v>
      </c>
      <c r="F30" s="55">
        <f t="shared" si="41"/>
        <v>1160000</v>
      </c>
      <c r="G30" s="55">
        <f t="shared" si="41"/>
        <v>1160000</v>
      </c>
      <c r="H30" s="55">
        <f t="shared" si="41"/>
        <v>1160000</v>
      </c>
      <c r="I30" s="55">
        <f t="shared" si="41"/>
        <v>1160000</v>
      </c>
      <c r="J30" s="64">
        <f t="shared" si="41"/>
        <v>1160000</v>
      </c>
      <c r="K30" s="154">
        <f t="shared" si="26"/>
        <v>8120000</v>
      </c>
      <c r="L30" s="325">
        <f>Персонал!$E$59+(Персонал!$E$68*Расчёты!L7)</f>
        <v>1145000</v>
      </c>
      <c r="M30" s="55">
        <f>Персонал!$E$59+(Персонал!$E$68*Расчёты!M7)</f>
        <v>1280000</v>
      </c>
      <c r="N30" s="55">
        <f>Персонал!$E$59+(Персонал!$E$68*Расчёты!N7)</f>
        <v>1280000</v>
      </c>
      <c r="O30" s="55">
        <f>Персонал!$E$59+(Персонал!$E$68*Расчёты!O7)</f>
        <v>1280000</v>
      </c>
      <c r="P30" s="55">
        <f>Персонал!$E$59+(Персонал!$E$68*Расчёты!P7)</f>
        <v>1280000</v>
      </c>
      <c r="Q30" s="55">
        <f>Персонал!$E$59+(Персонал!$E$68*Расчёты!Q7)</f>
        <v>1280000</v>
      </c>
      <c r="R30" s="55">
        <f>Персонал!$E$59+(Персонал!$E$68*Расчёты!R7)</f>
        <v>1280000</v>
      </c>
      <c r="S30" s="55">
        <f>Персонал!$E$59+(Персонал!$E$68*Расчёты!S7)</f>
        <v>1415000</v>
      </c>
      <c r="T30" s="55">
        <f>Персонал!$E$59+(Персонал!$E$68*Расчёты!T7)</f>
        <v>1415000</v>
      </c>
      <c r="U30" s="55">
        <f>Персонал!$E$59+(Персонал!$E$68*Расчёты!U7)</f>
        <v>1415000</v>
      </c>
      <c r="V30" s="305">
        <f>Персонал!$E$59+(Персонал!$E$68*Расчёты!V7)</f>
        <v>1415000</v>
      </c>
      <c r="W30" s="404">
        <f>Персонал!$E$59+(Персонал!$E$68*Расчёты!W7)</f>
        <v>1415000</v>
      </c>
      <c r="X30" s="346">
        <f t="shared" si="27"/>
        <v>15900000</v>
      </c>
      <c r="Y30" s="139">
        <f>Персонал!$E$59+(Персонал!$E$68*Расчёты!Y7)</f>
        <v>1415000</v>
      </c>
      <c r="Z30" s="55">
        <f>Персонал!$E$59+(Персонал!$E$68*Расчёты!Z7)</f>
        <v>1685000</v>
      </c>
      <c r="AA30" s="55">
        <f>Персонал!$E$59+(Персонал!$E$68*Расчёты!AA7)</f>
        <v>1685000</v>
      </c>
      <c r="AB30" s="55">
        <f>Персонал!$E$59+(Персонал!$E$68*Расчёты!AB7)</f>
        <v>1685000</v>
      </c>
      <c r="AC30" s="55">
        <f>Персонал!$E$59+(Персонал!$E$68*Расчёты!AC7)</f>
        <v>1685000</v>
      </c>
      <c r="AD30" s="55">
        <f>Персонал!$E$59+(Персонал!$E$68*Расчёты!AD7)</f>
        <v>1685000</v>
      </c>
      <c r="AE30" s="55">
        <f>Персонал!$E$59+(Персонал!$E$68*Расчёты!AE7)</f>
        <v>1685000</v>
      </c>
      <c r="AF30" s="55">
        <f>Персонал!$E$59+(Персонал!$E$68*Расчёты!AF7)</f>
        <v>1685000</v>
      </c>
      <c r="AG30" s="55">
        <f>Персонал!$E$59+(Персонал!$E$68*Расчёты!AG7)</f>
        <v>1685000</v>
      </c>
      <c r="AH30" s="55">
        <f>Персонал!$E$59+(Персонал!$E$68*Расчёты!AH7)</f>
        <v>1685000</v>
      </c>
      <c r="AI30" s="55">
        <f>Персонал!$E$59+(Персонал!$E$68*Расчёты!AI7)</f>
        <v>1685000</v>
      </c>
      <c r="AJ30" s="286">
        <f>Персонал!$E$59+(Персонал!$E$68*Расчёты!AJ7)</f>
        <v>1685000</v>
      </c>
      <c r="AK30" s="346">
        <f t="shared" si="28"/>
        <v>19950000</v>
      </c>
      <c r="AL30" s="139">
        <f>Персонал!$E$59+(Персонал!$E$68*Расчёты!AL7)</f>
        <v>1685000</v>
      </c>
      <c r="AM30" s="55">
        <f>Персонал!$E$59+(Персонал!$E$68*Расчёты!AM7)</f>
        <v>1955000</v>
      </c>
      <c r="AN30" s="55">
        <f>Персонал!$E$59+(Персонал!$E$68*Расчёты!AN7)</f>
        <v>1955000</v>
      </c>
      <c r="AO30" s="55">
        <f>Персонал!$E$59+(Персонал!$E$68*Расчёты!AO7)</f>
        <v>1955000</v>
      </c>
      <c r="AP30" s="55">
        <f>Персонал!$E$59+(Персонал!$E$68*Расчёты!AP7)</f>
        <v>1955000</v>
      </c>
      <c r="AQ30" s="55">
        <f>Персонал!$E$59+(Персонал!$E$68*Расчёты!AQ7)</f>
        <v>1955000</v>
      </c>
      <c r="AR30" s="55">
        <f>Персонал!$E$59+(Персонал!$E$68*Расчёты!AR7)</f>
        <v>1955000</v>
      </c>
      <c r="AS30" s="55">
        <f>Персонал!$E$59+(Персонал!$E$68*Расчёты!AS7)</f>
        <v>1955000</v>
      </c>
      <c r="AT30" s="55">
        <f>Персонал!$E$59+(Персонал!$E$68*Расчёты!AT7)</f>
        <v>1955000</v>
      </c>
      <c r="AU30" s="55">
        <f>Персонал!$E$59+(Персонал!$E$68*Расчёты!AU7)</f>
        <v>1955000</v>
      </c>
      <c r="AV30" s="55">
        <f>Персонал!$E$59+(Персонал!$E$68*Расчёты!AV7)</f>
        <v>1955000</v>
      </c>
      <c r="AW30" s="286">
        <f>Персонал!$E$59+(Персонал!$E$68*Расчёты!AW7)</f>
        <v>1955000</v>
      </c>
      <c r="AX30" s="348">
        <f t="shared" si="29"/>
        <v>23190000</v>
      </c>
      <c r="AY30" s="139">
        <f>Персонал!$E$59+(Персонал!$E$68*Расчёты!AY7)</f>
        <v>1955000</v>
      </c>
      <c r="AZ30" s="55">
        <f>Персонал!$E$59+(Персонал!$E$68*Расчёты!AZ7)</f>
        <v>2225000</v>
      </c>
      <c r="BA30" s="55">
        <f>Персонал!$E$59+(Персонал!$E$68*Расчёты!BA7)</f>
        <v>2225000</v>
      </c>
      <c r="BB30" s="55">
        <f>Персонал!$E$59+(Персонал!$E$68*Расчёты!BB7)</f>
        <v>1955000</v>
      </c>
      <c r="BC30" s="55">
        <f>Персонал!$E$59+(Персонал!$E$68*Расчёты!BC7)</f>
        <v>2225000</v>
      </c>
      <c r="BD30" s="55">
        <f>Персонал!$E$59+(Персонал!$E$68*Расчёты!BD7)</f>
        <v>2225000</v>
      </c>
      <c r="BE30" s="55">
        <f>Персонал!$E$59+(Персонал!$E$68*Расчёты!BE7)</f>
        <v>2225000</v>
      </c>
      <c r="BF30" s="55">
        <f>Персонал!$E$59+(Персонал!$E$68*Расчёты!BF7)</f>
        <v>2225000</v>
      </c>
      <c r="BG30" s="55">
        <f>Персонал!$E$59+(Персонал!$E$68*Расчёты!BG7)</f>
        <v>2225000</v>
      </c>
      <c r="BH30" s="55">
        <f>Персонал!$E$59+(Персонал!$E$68*Расчёты!BH7)</f>
        <v>2225000</v>
      </c>
      <c r="BI30" s="55">
        <f>Персонал!$E$59+(Персонал!$E$68*Расчёты!BI7)</f>
        <v>2225000</v>
      </c>
      <c r="BJ30" s="286">
        <f>Персонал!$E$59+(Персонал!$E$68*Расчёты!BJ7)</f>
        <v>2225000</v>
      </c>
      <c r="BK30" s="348">
        <f>SUM(AY30:BJ30)</f>
        <v>26160000</v>
      </c>
    </row>
    <row r="31" spans="1:63" s="194" customFormat="1" ht="13.2">
      <c r="A31" s="179" t="s">
        <v>72</v>
      </c>
      <c r="B31" s="221">
        <v>0.3</v>
      </c>
      <c r="C31" s="290">
        <f t="shared" si="25"/>
        <v>20148000</v>
      </c>
      <c r="D31" s="313">
        <f t="shared" ref="D31:J31" si="42">D30*$B$31</f>
        <v>348000</v>
      </c>
      <c r="E31" s="299">
        <f t="shared" si="42"/>
        <v>348000</v>
      </c>
      <c r="F31" s="55">
        <f t="shared" si="42"/>
        <v>348000</v>
      </c>
      <c r="G31" s="55">
        <f t="shared" si="42"/>
        <v>348000</v>
      </c>
      <c r="H31" s="55">
        <f t="shared" si="42"/>
        <v>348000</v>
      </c>
      <c r="I31" s="55">
        <f t="shared" si="42"/>
        <v>348000</v>
      </c>
      <c r="J31" s="64">
        <f t="shared" si="42"/>
        <v>348000</v>
      </c>
      <c r="K31" s="154">
        <f t="shared" si="26"/>
        <v>2436000</v>
      </c>
      <c r="L31" s="139">
        <f t="shared" ref="L31:W31" si="43">L30*$B$31</f>
        <v>343500</v>
      </c>
      <c r="M31" s="55">
        <f t="shared" si="43"/>
        <v>384000</v>
      </c>
      <c r="N31" s="55">
        <f t="shared" si="43"/>
        <v>384000</v>
      </c>
      <c r="O31" s="55">
        <f t="shared" si="43"/>
        <v>384000</v>
      </c>
      <c r="P31" s="55">
        <f t="shared" si="43"/>
        <v>384000</v>
      </c>
      <c r="Q31" s="55">
        <f t="shared" si="43"/>
        <v>384000</v>
      </c>
      <c r="R31" s="55">
        <f t="shared" si="43"/>
        <v>384000</v>
      </c>
      <c r="S31" s="55">
        <f t="shared" si="43"/>
        <v>424500</v>
      </c>
      <c r="T31" s="55">
        <f t="shared" si="43"/>
        <v>424500</v>
      </c>
      <c r="U31" s="55">
        <f t="shared" si="43"/>
        <v>424500</v>
      </c>
      <c r="V31" s="55">
        <f t="shared" si="43"/>
        <v>424500</v>
      </c>
      <c r="W31" s="64">
        <f t="shared" si="43"/>
        <v>424500</v>
      </c>
      <c r="X31" s="154">
        <f t="shared" si="27"/>
        <v>4770000</v>
      </c>
      <c r="Y31" s="139">
        <f t="shared" ref="Y31:AJ31" si="44">Y30*$B$31</f>
        <v>424500</v>
      </c>
      <c r="Z31" s="55">
        <f t="shared" si="44"/>
        <v>505500</v>
      </c>
      <c r="AA31" s="55">
        <f t="shared" si="44"/>
        <v>505500</v>
      </c>
      <c r="AB31" s="55">
        <f t="shared" si="44"/>
        <v>505500</v>
      </c>
      <c r="AC31" s="55">
        <f t="shared" si="44"/>
        <v>505500</v>
      </c>
      <c r="AD31" s="55">
        <f t="shared" si="44"/>
        <v>505500</v>
      </c>
      <c r="AE31" s="55">
        <f t="shared" si="44"/>
        <v>505500</v>
      </c>
      <c r="AF31" s="55">
        <f t="shared" si="44"/>
        <v>505500</v>
      </c>
      <c r="AG31" s="55">
        <f t="shared" si="44"/>
        <v>505500</v>
      </c>
      <c r="AH31" s="55">
        <f t="shared" si="44"/>
        <v>505500</v>
      </c>
      <c r="AI31" s="55">
        <f t="shared" si="44"/>
        <v>505500</v>
      </c>
      <c r="AJ31" s="336">
        <f t="shared" si="44"/>
        <v>505500</v>
      </c>
      <c r="AK31" s="154">
        <f t="shared" si="28"/>
        <v>5985000</v>
      </c>
      <c r="AL31" s="139">
        <f t="shared" ref="AL31:AW31" si="45">AL30*$B$31</f>
        <v>505500</v>
      </c>
      <c r="AM31" s="55">
        <f t="shared" si="45"/>
        <v>586500</v>
      </c>
      <c r="AN31" s="55">
        <f t="shared" si="45"/>
        <v>586500</v>
      </c>
      <c r="AO31" s="55">
        <f t="shared" si="45"/>
        <v>586500</v>
      </c>
      <c r="AP31" s="55">
        <f t="shared" si="45"/>
        <v>586500</v>
      </c>
      <c r="AQ31" s="55">
        <f t="shared" si="45"/>
        <v>586500</v>
      </c>
      <c r="AR31" s="55">
        <f t="shared" si="45"/>
        <v>586500</v>
      </c>
      <c r="AS31" s="55">
        <f t="shared" si="45"/>
        <v>586500</v>
      </c>
      <c r="AT31" s="55">
        <f t="shared" si="45"/>
        <v>586500</v>
      </c>
      <c r="AU31" s="55">
        <f t="shared" si="45"/>
        <v>586500</v>
      </c>
      <c r="AV31" s="55">
        <f t="shared" si="45"/>
        <v>586500</v>
      </c>
      <c r="AW31" s="336">
        <f t="shared" si="45"/>
        <v>586500</v>
      </c>
      <c r="AX31" s="245">
        <f t="shared" si="29"/>
        <v>6957000</v>
      </c>
      <c r="AY31" s="139">
        <f t="shared" ref="AY31:BJ31" si="46">AY30*$B$31</f>
        <v>586500</v>
      </c>
      <c r="AZ31" s="55">
        <f t="shared" si="46"/>
        <v>667500</v>
      </c>
      <c r="BA31" s="55">
        <f t="shared" si="46"/>
        <v>667500</v>
      </c>
      <c r="BB31" s="55">
        <f t="shared" si="46"/>
        <v>586500</v>
      </c>
      <c r="BC31" s="55">
        <f t="shared" si="46"/>
        <v>667500</v>
      </c>
      <c r="BD31" s="55">
        <f t="shared" si="46"/>
        <v>667500</v>
      </c>
      <c r="BE31" s="55">
        <f t="shared" si="46"/>
        <v>667500</v>
      </c>
      <c r="BF31" s="55">
        <f t="shared" si="46"/>
        <v>667500</v>
      </c>
      <c r="BG31" s="55">
        <f t="shared" si="46"/>
        <v>667500</v>
      </c>
      <c r="BH31" s="55">
        <f t="shared" si="46"/>
        <v>667500</v>
      </c>
      <c r="BI31" s="55">
        <f t="shared" si="46"/>
        <v>667500</v>
      </c>
      <c r="BJ31" s="336">
        <f t="shared" si="46"/>
        <v>667500</v>
      </c>
      <c r="BK31" s="245">
        <f t="shared" si="30"/>
        <v>7848000</v>
      </c>
    </row>
    <row r="32" spans="1:63" s="194" customFormat="1" ht="13.2">
      <c r="A32" s="179" t="s">
        <v>73</v>
      </c>
      <c r="B32" s="169" t="s">
        <v>16</v>
      </c>
      <c r="C32" s="291">
        <f t="shared" si="25"/>
        <v>8702696.541212121</v>
      </c>
      <c r="D32" s="319">
        <f t="shared" ref="D32:J32" si="47">SUM(D25:D30)*0.05</f>
        <v>168986.79212121211</v>
      </c>
      <c r="E32" s="305">
        <f t="shared" si="47"/>
        <v>184986.79212121211</v>
      </c>
      <c r="F32" s="55">
        <f t="shared" si="47"/>
        <v>120061.79212121214</v>
      </c>
      <c r="G32" s="55">
        <f t="shared" si="47"/>
        <v>147061.79212121214</v>
      </c>
      <c r="H32" s="55">
        <f t="shared" si="47"/>
        <v>160561.79212121214</v>
      </c>
      <c r="I32" s="55">
        <f t="shared" si="47"/>
        <v>174061.79212121211</v>
      </c>
      <c r="J32" s="64">
        <f t="shared" si="47"/>
        <v>174061.79212121211</v>
      </c>
      <c r="K32" s="154">
        <f t="shared" si="26"/>
        <v>1129782.5448484849</v>
      </c>
      <c r="L32" s="139">
        <f t="shared" ref="L32:W32" si="48">SUM(L25:L30)*0.05</f>
        <v>172931.79212121211</v>
      </c>
      <c r="M32" s="55">
        <f t="shared" si="48"/>
        <v>180931.79212121211</v>
      </c>
      <c r="N32" s="55">
        <f t="shared" si="48"/>
        <v>194813.42060606062</v>
      </c>
      <c r="O32" s="55">
        <f t="shared" si="48"/>
        <v>194813.42060606062</v>
      </c>
      <c r="P32" s="55">
        <f t="shared" si="48"/>
        <v>194813.42060606062</v>
      </c>
      <c r="Q32" s="55">
        <f t="shared" si="48"/>
        <v>194813.42060606062</v>
      </c>
      <c r="R32" s="55">
        <f t="shared" si="48"/>
        <v>194813.42060606062</v>
      </c>
      <c r="S32" s="55">
        <f t="shared" si="48"/>
        <v>202813.42060606062</v>
      </c>
      <c r="T32" s="55">
        <f t="shared" si="48"/>
        <v>181153.09333333335</v>
      </c>
      <c r="U32" s="55">
        <f t="shared" si="48"/>
        <v>188153.09333333335</v>
      </c>
      <c r="V32" s="55">
        <f t="shared" si="48"/>
        <v>188153.09333333335</v>
      </c>
      <c r="W32" s="404">
        <f t="shared" si="48"/>
        <v>188153.09333333335</v>
      </c>
      <c r="X32" s="346">
        <f t="shared" si="27"/>
        <v>2276356.4812121214</v>
      </c>
      <c r="Y32" s="139">
        <f t="shared" ref="Y32:AJ32" si="49">SUM(Y25:Y30)*0.05</f>
        <v>188153.09333333335</v>
      </c>
      <c r="Z32" s="55">
        <f t="shared" si="49"/>
        <v>204153.09333333335</v>
      </c>
      <c r="AA32" s="55">
        <f t="shared" si="49"/>
        <v>196374.39454545453</v>
      </c>
      <c r="AB32" s="55">
        <f t="shared" si="49"/>
        <v>203374.39454545453</v>
      </c>
      <c r="AC32" s="55">
        <f t="shared" si="49"/>
        <v>203374.39454545453</v>
      </c>
      <c r="AD32" s="55">
        <f t="shared" si="49"/>
        <v>203374.39454545453</v>
      </c>
      <c r="AE32" s="55">
        <f t="shared" si="49"/>
        <v>203374.39454545453</v>
      </c>
      <c r="AF32" s="55">
        <f t="shared" si="49"/>
        <v>203374.39454545453</v>
      </c>
      <c r="AG32" s="55">
        <f t="shared" si="49"/>
        <v>203374.39454545453</v>
      </c>
      <c r="AH32" s="55">
        <f t="shared" si="49"/>
        <v>203374.39454545453</v>
      </c>
      <c r="AI32" s="55">
        <f t="shared" si="49"/>
        <v>203374.39454545453</v>
      </c>
      <c r="AJ32" s="286">
        <f t="shared" si="49"/>
        <v>203374.39454545453</v>
      </c>
      <c r="AK32" s="346">
        <f t="shared" si="28"/>
        <v>2419050.1321212118</v>
      </c>
      <c r="AL32" s="139">
        <f t="shared" ref="AL32:AW32" si="50">SUM(AL25:AL30)*0.05</f>
        <v>203374.39454545453</v>
      </c>
      <c r="AM32" s="55">
        <f t="shared" si="50"/>
        <v>219374.39454545453</v>
      </c>
      <c r="AN32" s="55">
        <f t="shared" si="50"/>
        <v>239175.85939393938</v>
      </c>
      <c r="AO32" s="55">
        <f t="shared" si="50"/>
        <v>246175.85939393938</v>
      </c>
      <c r="AP32" s="55">
        <f t="shared" si="50"/>
        <v>246175.85939393938</v>
      </c>
      <c r="AQ32" s="55">
        <f t="shared" si="50"/>
        <v>246175.85939393938</v>
      </c>
      <c r="AR32" s="55">
        <f t="shared" si="50"/>
        <v>246175.85939393938</v>
      </c>
      <c r="AS32" s="55">
        <f t="shared" si="50"/>
        <v>246175.85939393938</v>
      </c>
      <c r="AT32" s="55">
        <f t="shared" si="50"/>
        <v>246175.85939393938</v>
      </c>
      <c r="AU32" s="55">
        <f t="shared" si="50"/>
        <v>246175.85939393938</v>
      </c>
      <c r="AV32" s="55">
        <f t="shared" si="50"/>
        <v>246175.85939393938</v>
      </c>
      <c r="AW32" s="286">
        <f t="shared" si="50"/>
        <v>246175.85939393938</v>
      </c>
      <c r="AX32" s="348">
        <f t="shared" si="29"/>
        <v>2877507.3830303028</v>
      </c>
      <c r="AY32" s="139">
        <f t="shared" ref="AY32:BJ32" si="51">SUM(AY25:AY30)*0.05</f>
        <v>246175.85939393938</v>
      </c>
      <c r="AZ32" s="55">
        <f t="shared" si="51"/>
        <v>262175.85939393938</v>
      </c>
      <c r="BA32" s="55">
        <f t="shared" si="51"/>
        <v>283175.85939393938</v>
      </c>
      <c r="BB32" s="55">
        <f t="shared" si="51"/>
        <v>267175.85939393938</v>
      </c>
      <c r="BC32" s="55">
        <f t="shared" si="51"/>
        <v>283175.85939393938</v>
      </c>
      <c r="BD32" s="55">
        <f t="shared" si="51"/>
        <v>283175.85939393938</v>
      </c>
      <c r="BE32" s="55">
        <f t="shared" si="51"/>
        <v>283175.85939393938</v>
      </c>
      <c r="BF32" s="55">
        <f t="shared" si="51"/>
        <v>283175.85939393938</v>
      </c>
      <c r="BG32" s="55">
        <f t="shared" si="51"/>
        <v>283175.85939393938</v>
      </c>
      <c r="BH32" s="55">
        <f t="shared" si="51"/>
        <v>283175.85939393938</v>
      </c>
      <c r="BI32" s="55">
        <f t="shared" si="51"/>
        <v>283175.85939393938</v>
      </c>
      <c r="BJ32" s="286">
        <f t="shared" si="51"/>
        <v>283175.85939393938</v>
      </c>
      <c r="BK32" s="348">
        <f t="shared" si="30"/>
        <v>3324110.3127272725</v>
      </c>
    </row>
    <row r="33" spans="1:63" s="194" customFormat="1" ht="13.2">
      <c r="A33" s="153" t="s">
        <v>74</v>
      </c>
      <c r="B33" s="169"/>
      <c r="C33" s="286"/>
      <c r="D33" s="313"/>
      <c r="E33" s="299"/>
      <c r="F33" s="55"/>
      <c r="G33" s="55"/>
      <c r="H33" s="55"/>
      <c r="I33" s="55"/>
      <c r="J33" s="64"/>
      <c r="K33" s="154"/>
      <c r="L33" s="139"/>
      <c r="M33" s="55"/>
      <c r="N33" s="55"/>
      <c r="O33" s="97"/>
      <c r="P33" s="97"/>
      <c r="Q33" s="97"/>
      <c r="R33" s="97"/>
      <c r="S33" s="97"/>
      <c r="T33" s="55"/>
      <c r="U33" s="55"/>
      <c r="V33" s="55"/>
      <c r="W33" s="64"/>
      <c r="X33" s="154"/>
      <c r="Y33" s="191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342"/>
      <c r="AK33" s="84"/>
      <c r="AL33" s="191"/>
      <c r="AM33" s="97"/>
      <c r="AN33" s="97"/>
      <c r="AO33" s="97"/>
      <c r="AP33" s="97"/>
      <c r="AQ33" s="367"/>
      <c r="AR33" s="367"/>
      <c r="AS33" s="367"/>
      <c r="AT33" s="367"/>
      <c r="AU33" s="367"/>
      <c r="AV33" s="367"/>
      <c r="AW33" s="342"/>
      <c r="AX33" s="220"/>
      <c r="AY33" s="191"/>
      <c r="AZ33" s="97"/>
      <c r="BA33" s="97"/>
      <c r="BB33" s="97"/>
      <c r="BC33" s="97"/>
      <c r="BD33" s="367"/>
      <c r="BE33" s="367"/>
      <c r="BF33" s="367"/>
      <c r="BG33" s="367"/>
      <c r="BH33" s="367"/>
      <c r="BI33" s="367"/>
      <c r="BJ33" s="342"/>
      <c r="BK33" s="220"/>
    </row>
    <row r="34" spans="1:63" ht="12" customHeight="1">
      <c r="A34" s="179" t="s">
        <v>75</v>
      </c>
      <c r="B34" s="169" t="s">
        <v>16</v>
      </c>
      <c r="C34" s="290">
        <f>((K34+X34)+AK34)+AX34</f>
        <v>21940180.508474577</v>
      </c>
      <c r="D34" s="313">
        <v>0</v>
      </c>
      <c r="E34" s="299">
        <f t="shared" ref="E34:J34" si="52">(E17+E21)*0.022</f>
        <v>93966.10169491524</v>
      </c>
      <c r="F34" s="55">
        <f t="shared" si="52"/>
        <v>92455.932203389821</v>
      </c>
      <c r="G34" s="55">
        <f t="shared" si="52"/>
        <v>90419.067796610165</v>
      </c>
      <c r="H34" s="55">
        <f t="shared" si="52"/>
        <v>88382.203389830494</v>
      </c>
      <c r="I34" s="55">
        <f t="shared" si="52"/>
        <v>86345.338983050839</v>
      </c>
      <c r="J34" s="64">
        <f t="shared" si="52"/>
        <v>84308.474576271183</v>
      </c>
      <c r="K34" s="154">
        <f>SUM(D34:J34)</f>
        <v>535877.11864406767</v>
      </c>
      <c r="L34" s="139">
        <f t="shared" ref="L34:W34" si="53">(L17+L21)*0.022</f>
        <v>82271.610169491512</v>
      </c>
      <c r="M34" s="55">
        <f t="shared" si="53"/>
        <v>80234.745762711842</v>
      </c>
      <c r="N34" s="55">
        <f t="shared" si="53"/>
        <v>89384.322033898294</v>
      </c>
      <c r="O34" s="55">
        <f t="shared" si="53"/>
        <v>240449.43502824855</v>
      </c>
      <c r="P34" s="55">
        <f t="shared" si="53"/>
        <v>236395.90395480226</v>
      </c>
      <c r="Q34" s="55">
        <f t="shared" si="53"/>
        <v>232342.37288135593</v>
      </c>
      <c r="R34" s="55">
        <f t="shared" si="53"/>
        <v>228288.84180790957</v>
      </c>
      <c r="S34" s="55">
        <f t="shared" si="53"/>
        <v>224235.31073446327</v>
      </c>
      <c r="T34" s="55">
        <f t="shared" si="53"/>
        <v>220181.77966101698</v>
      </c>
      <c r="U34" s="55">
        <f t="shared" si="53"/>
        <v>459520.33898305084</v>
      </c>
      <c r="V34" s="55">
        <f t="shared" si="53"/>
        <v>452384.32203389826</v>
      </c>
      <c r="W34" s="64">
        <f t="shared" si="53"/>
        <v>445248.30508474569</v>
      </c>
      <c r="X34" s="154">
        <f>SUM(L34:W34)</f>
        <v>2990937.2881355933</v>
      </c>
      <c r="Y34" s="139">
        <f t="shared" ref="Y34:AJ34" si="54">(Y17+Y21)*0.022</f>
        <v>438112.28813559323</v>
      </c>
      <c r="Z34" s="55">
        <f t="shared" si="54"/>
        <v>430976.27118644066</v>
      </c>
      <c r="AA34" s="55">
        <f t="shared" si="54"/>
        <v>423840.25423728814</v>
      </c>
      <c r="AB34" s="55">
        <f t="shared" si="54"/>
        <v>813198.30508474563</v>
      </c>
      <c r="AC34" s="55">
        <f t="shared" si="54"/>
        <v>800963.13559322048</v>
      </c>
      <c r="AD34" s="55">
        <f t="shared" si="54"/>
        <v>788727.96610169485</v>
      </c>
      <c r="AE34" s="55">
        <f t="shared" si="54"/>
        <v>776492.79661016958</v>
      </c>
      <c r="AF34" s="55">
        <f t="shared" si="54"/>
        <v>764257.62711864396</v>
      </c>
      <c r="AG34" s="55">
        <f t="shared" si="54"/>
        <v>752022.45762711868</v>
      </c>
      <c r="AH34" s="55">
        <f t="shared" si="54"/>
        <v>739787.28813559317</v>
      </c>
      <c r="AI34" s="55">
        <f t="shared" si="54"/>
        <v>727552.11864406778</v>
      </c>
      <c r="AJ34" s="336">
        <f t="shared" si="54"/>
        <v>715316.94915254239</v>
      </c>
      <c r="AK34" s="154">
        <f>SUM(Y34:AJ34)</f>
        <v>8171247.4576271186</v>
      </c>
      <c r="AL34" s="139">
        <f t="shared" ref="AL34:AW34" si="55">(AL17+AL21)*0.022</f>
        <v>703081.77966101689</v>
      </c>
      <c r="AM34" s="55">
        <f t="shared" si="55"/>
        <v>690846.6101694915</v>
      </c>
      <c r="AN34" s="55">
        <f t="shared" si="55"/>
        <v>678611.44067796611</v>
      </c>
      <c r="AO34" s="55">
        <f t="shared" si="55"/>
        <v>961524.2937853107</v>
      </c>
      <c r="AP34" s="55">
        <f t="shared" si="55"/>
        <v>945386.29943502822</v>
      </c>
      <c r="AQ34" s="55">
        <f t="shared" si="55"/>
        <v>929248.30508474563</v>
      </c>
      <c r="AR34" s="55">
        <f t="shared" si="55"/>
        <v>913110.31073446327</v>
      </c>
      <c r="AS34" s="55">
        <f t="shared" si="55"/>
        <v>896972.31638418091</v>
      </c>
      <c r="AT34" s="55">
        <f t="shared" si="55"/>
        <v>880834.32203389844</v>
      </c>
      <c r="AU34" s="55">
        <f t="shared" si="55"/>
        <v>864696.32768361585</v>
      </c>
      <c r="AV34" s="55">
        <f t="shared" si="55"/>
        <v>848558.33333333349</v>
      </c>
      <c r="AW34" s="336">
        <f t="shared" si="55"/>
        <v>929248.30508474563</v>
      </c>
      <c r="AX34" s="245">
        <f>SUM(AL34:AW34)</f>
        <v>10242118.644067798</v>
      </c>
      <c r="AY34" s="139">
        <f t="shared" ref="AY34:BJ34" si="56">(AY17+AY21)*0.022</f>
        <v>913110.31073446327</v>
      </c>
      <c r="AZ34" s="55">
        <f t="shared" si="56"/>
        <v>895592.65536723181</v>
      </c>
      <c r="BA34" s="55">
        <f t="shared" si="56"/>
        <v>878075.00000000012</v>
      </c>
      <c r="BB34" s="55">
        <f t="shared" si="56"/>
        <v>858034.18079096044</v>
      </c>
      <c r="BC34" s="55">
        <f t="shared" si="56"/>
        <v>837993.361581921</v>
      </c>
      <c r="BD34" s="55">
        <f t="shared" si="56"/>
        <v>817952.54237288155</v>
      </c>
      <c r="BE34" s="55">
        <f t="shared" si="56"/>
        <v>797911.72316384187</v>
      </c>
      <c r="BF34" s="55">
        <f t="shared" si="56"/>
        <v>777870.9039548022</v>
      </c>
      <c r="BG34" s="55">
        <f t="shared" si="56"/>
        <v>756450.42372881365</v>
      </c>
      <c r="BH34" s="55">
        <f t="shared" si="56"/>
        <v>735029.94350282487</v>
      </c>
      <c r="BI34" s="55">
        <f t="shared" si="56"/>
        <v>713609.46327683621</v>
      </c>
      <c r="BJ34" s="336">
        <f t="shared" si="56"/>
        <v>817952.54237288155</v>
      </c>
      <c r="BK34" s="245">
        <f>SUM(AY34:BJ34)</f>
        <v>9799583.0508474596</v>
      </c>
    </row>
    <row r="35" spans="1:63" ht="12" customHeight="1">
      <c r="A35" s="349" t="s">
        <v>116</v>
      </c>
      <c r="B35" s="350" t="s">
        <v>16</v>
      </c>
      <c r="C35" s="351">
        <f>((K35+X35)+AK35)+AX35</f>
        <v>17760000</v>
      </c>
      <c r="D35" s="352">
        <f>Оборудование!E14*D8</f>
        <v>4440000</v>
      </c>
      <c r="E35" s="353"/>
      <c r="F35" s="354"/>
      <c r="G35" s="354"/>
      <c r="H35" s="354"/>
      <c r="I35" s="354"/>
      <c r="J35" s="355"/>
      <c r="K35" s="356">
        <f>SUM(D35:J35)</f>
        <v>4440000</v>
      </c>
      <c r="L35" s="357">
        <f>Оборудование!E14*Расчёты!L8/2</f>
        <v>1110000</v>
      </c>
      <c r="M35" s="354">
        <f>Оборудование!E14*Расчёты!L8/2</f>
        <v>1110000</v>
      </c>
      <c r="N35" s="354"/>
      <c r="O35" s="354"/>
      <c r="P35" s="354"/>
      <c r="Q35" s="354"/>
      <c r="R35" s="354">
        <f>Оборудование!E14*Расчёты!R8/2</f>
        <v>1110000</v>
      </c>
      <c r="S35" s="354">
        <f>Оборудование!E14*Расчёты!R8/2</f>
        <v>1110000</v>
      </c>
      <c r="T35" s="354"/>
      <c r="U35" s="354"/>
      <c r="V35" s="354"/>
      <c r="W35" s="355"/>
      <c r="X35" s="356">
        <f>SUM(L35:W35)</f>
        <v>4440000</v>
      </c>
      <c r="Y35" s="357">
        <f>Оборудование!E14*Расчёты!Y8/2</f>
        <v>2220000</v>
      </c>
      <c r="Z35" s="354">
        <f>Оборудование!E14*Расчёты!Y8/2</f>
        <v>2220000</v>
      </c>
      <c r="AA35" s="354"/>
      <c r="AB35" s="354"/>
      <c r="AC35" s="354"/>
      <c r="AD35" s="354"/>
      <c r="AE35" s="354"/>
      <c r="AF35" s="354"/>
      <c r="AG35" s="354"/>
      <c r="AH35" s="354"/>
      <c r="AI35" s="354"/>
      <c r="AJ35" s="358"/>
      <c r="AK35" s="356">
        <f>SUM(Y35:AJ35)</f>
        <v>4440000</v>
      </c>
      <c r="AL35" s="357">
        <f>Оборудование!E14*Расчёты!AL8/2</f>
        <v>2220000</v>
      </c>
      <c r="AM35" s="354">
        <f>Оборудование!E14*Расчёты!AL8/2</f>
        <v>2220000</v>
      </c>
      <c r="AN35" s="354"/>
      <c r="AO35" s="354"/>
      <c r="AP35" s="354"/>
      <c r="AQ35" s="358"/>
      <c r="AR35" s="358"/>
      <c r="AS35" s="358"/>
      <c r="AT35" s="358"/>
      <c r="AU35" s="358"/>
      <c r="AV35" s="358"/>
      <c r="AW35" s="358"/>
      <c r="AX35" s="359">
        <f>SUM(AL35:AW35)</f>
        <v>4440000</v>
      </c>
      <c r="AY35" s="357">
        <f>Оборудование!E14*Расчёты!AY8/2</f>
        <v>2220000</v>
      </c>
      <c r="AZ35" s="354">
        <f>Оборудование!E14*Расчёты!AY8/2</f>
        <v>2220000</v>
      </c>
      <c r="BA35" s="354"/>
      <c r="BB35" s="354"/>
      <c r="BC35" s="354"/>
      <c r="BD35" s="358"/>
      <c r="BE35" s="358"/>
      <c r="BF35" s="358"/>
      <c r="BG35" s="358"/>
      <c r="BH35" s="358"/>
      <c r="BI35" s="358"/>
      <c r="BJ35" s="358"/>
      <c r="BK35" s="359">
        <f>SUM(AY35:BJ35)</f>
        <v>4440000</v>
      </c>
    </row>
    <row r="36" spans="1:63" ht="12" customHeight="1">
      <c r="A36" s="179" t="s">
        <v>76</v>
      </c>
      <c r="B36" s="169" t="s">
        <v>16</v>
      </c>
      <c r="C36" s="290">
        <f>((K36+X36)+AK36)+AX36</f>
        <v>2400000</v>
      </c>
      <c r="D36" s="313">
        <f>Транспорт!E3*Расчёты!D9</f>
        <v>600000</v>
      </c>
      <c r="E36" s="299">
        <v>0</v>
      </c>
      <c r="F36" s="55">
        <v>0</v>
      </c>
      <c r="G36" s="55">
        <v>0</v>
      </c>
      <c r="H36" s="55">
        <v>0</v>
      </c>
      <c r="I36" s="55">
        <v>0</v>
      </c>
      <c r="J36" s="64">
        <v>0</v>
      </c>
      <c r="K36" s="154">
        <f>SUM(D36:J36)</f>
        <v>600000</v>
      </c>
      <c r="L36" s="139"/>
      <c r="M36" s="55">
        <v>600000</v>
      </c>
      <c r="N36" s="55"/>
      <c r="O36" s="55"/>
      <c r="P36" s="55"/>
      <c r="Q36" s="55"/>
      <c r="R36" s="55"/>
      <c r="S36" s="55"/>
      <c r="T36" s="55"/>
      <c r="U36" s="55"/>
      <c r="V36" s="55"/>
      <c r="W36" s="64"/>
      <c r="X36" s="154">
        <f>SUM(L36:W36)</f>
        <v>600000</v>
      </c>
      <c r="Y36" s="139"/>
      <c r="Z36" s="55">
        <v>600000</v>
      </c>
      <c r="AA36" s="55"/>
      <c r="AB36" s="55"/>
      <c r="AC36" s="55"/>
      <c r="AD36" s="55"/>
      <c r="AE36" s="55"/>
      <c r="AF36" s="55"/>
      <c r="AG36" s="55"/>
      <c r="AH36" s="55"/>
      <c r="AI36" s="55"/>
      <c r="AJ36" s="336"/>
      <c r="AK36" s="154">
        <f>SUM(Y36:AJ36)</f>
        <v>600000</v>
      </c>
      <c r="AL36" s="139"/>
      <c r="AM36" s="55">
        <f>Транспорт!E3*Расчёты!AM9</f>
        <v>600000</v>
      </c>
      <c r="AN36" s="55"/>
      <c r="AO36" s="55"/>
      <c r="AP36" s="55"/>
      <c r="AQ36" s="286"/>
      <c r="AR36" s="286"/>
      <c r="AS36" s="286"/>
      <c r="AT36" s="286"/>
      <c r="AU36" s="286"/>
      <c r="AV36" s="286"/>
      <c r="AW36" s="336"/>
      <c r="AX36" s="245">
        <f>SUM(AL36:AW36)</f>
        <v>600000</v>
      </c>
      <c r="AY36" s="139"/>
      <c r="AZ36" s="55">
        <f>Транспорт!E3*Расчёты!AZ9</f>
        <v>600000</v>
      </c>
      <c r="BA36" s="55"/>
      <c r="BB36" s="55"/>
      <c r="BC36" s="55"/>
      <c r="BD36" s="286"/>
      <c r="BE36" s="286"/>
      <c r="BF36" s="286"/>
      <c r="BG36" s="286"/>
      <c r="BH36" s="286"/>
      <c r="BI36" s="286"/>
      <c r="BJ36" s="336"/>
      <c r="BK36" s="245">
        <f>SUM(AY36:BJ36)</f>
        <v>600000</v>
      </c>
    </row>
    <row r="37" spans="1:63" ht="12" customHeight="1">
      <c r="A37" s="179" t="s">
        <v>77</v>
      </c>
      <c r="B37" s="169" t="s">
        <v>16</v>
      </c>
      <c r="C37" s="290">
        <f>((K37+X37)+AK37)+AX37</f>
        <v>48400000</v>
      </c>
      <c r="D37" s="313">
        <v>0</v>
      </c>
      <c r="E37" s="299">
        <v>0</v>
      </c>
      <c r="F37" s="55">
        <v>0</v>
      </c>
      <c r="G37" s="55">
        <v>0</v>
      </c>
      <c r="H37" s="55">
        <v>0</v>
      </c>
      <c r="I37" s="55">
        <v>0</v>
      </c>
      <c r="J37" s="64">
        <v>0</v>
      </c>
      <c r="K37" s="154">
        <f>SUM(D37:J37)</f>
        <v>0</v>
      </c>
      <c r="L37" s="139">
        <f>Лизинг!C4-Лизинг!C6</f>
        <v>1650000.0000000005</v>
      </c>
      <c r="M37" s="55">
        <v>0</v>
      </c>
      <c r="N37" s="55">
        <f>Лизинг!$C$27*Расчёты!$L$10</f>
        <v>200000</v>
      </c>
      <c r="O37" s="55">
        <f>Лизинг!$C$27*Расчёты!$L$10</f>
        <v>200000</v>
      </c>
      <c r="P37" s="55">
        <f>Лизинг!$C$27*Расчёты!$L$10</f>
        <v>200000</v>
      </c>
      <c r="Q37" s="55">
        <f>Лизинг!$C$27*Расчёты!$L$10</f>
        <v>200000</v>
      </c>
      <c r="R37" s="55">
        <f>(Лизинг!$C$27*Расчёты!$L$10)+((Лизинг!C4-Лизинг!C6)*Расчёты!R10)</f>
        <v>3500000.0000000009</v>
      </c>
      <c r="S37" s="55">
        <f>Лизинг!$C$27*Расчёты!$L$10</f>
        <v>200000</v>
      </c>
      <c r="T37" s="55">
        <f>(Лизинг!$C$27*Расчёты!$L$10)+(Лизинг!$C$27*Расчёты!$R$10)</f>
        <v>600000</v>
      </c>
      <c r="U37" s="55">
        <f>(Лизинг!$C$27*Расчёты!$L$10)+(Лизинг!$C$27*Расчёты!$R$10)</f>
        <v>600000</v>
      </c>
      <c r="V37" s="55">
        <f>(Лизинг!$C$27*Расчёты!$L$10)+(Лизинг!$C$27*Расчёты!$R$10)</f>
        <v>600000</v>
      </c>
      <c r="W37" s="404">
        <f>(Лизинг!$C$27*Расчёты!$L$10)+(Лизинг!$C$27*Расчёты!$R$10)</f>
        <v>600000</v>
      </c>
      <c r="X37" s="346">
        <f>SUM(L37:W37)</f>
        <v>8550000.0000000019</v>
      </c>
      <c r="Y37" s="139">
        <f>W37+((Лизинг!C4-Лизинг!C6)*Расчёты!Y10)</f>
        <v>5550000.0000000019</v>
      </c>
      <c r="Z37" s="55">
        <f>W37</f>
        <v>600000</v>
      </c>
      <c r="AA37" s="55">
        <f>Z37+(Лизинг!C27*Расчёты!Y10)</f>
        <v>1200000</v>
      </c>
      <c r="AB37" s="55">
        <f t="shared" ref="AB37:AJ37" si="57">AA37</f>
        <v>1200000</v>
      </c>
      <c r="AC37" s="55">
        <f t="shared" si="57"/>
        <v>1200000</v>
      </c>
      <c r="AD37" s="55">
        <f t="shared" si="57"/>
        <v>1200000</v>
      </c>
      <c r="AE37" s="55">
        <f t="shared" si="57"/>
        <v>1200000</v>
      </c>
      <c r="AF37" s="55">
        <f t="shared" si="57"/>
        <v>1200000</v>
      </c>
      <c r="AG37" s="55">
        <f t="shared" si="57"/>
        <v>1200000</v>
      </c>
      <c r="AH37" s="55">
        <f t="shared" si="57"/>
        <v>1200000</v>
      </c>
      <c r="AI37" s="55">
        <f t="shared" si="57"/>
        <v>1200000</v>
      </c>
      <c r="AJ37" s="286">
        <f t="shared" si="57"/>
        <v>1200000</v>
      </c>
      <c r="AK37" s="346">
        <f>SUM(Y37:AJ37)</f>
        <v>18150000</v>
      </c>
      <c r="AL37" s="139">
        <f>AJ37+((Лизинг!C4-Лизинг!C6)*Расчёты!AL10)</f>
        <v>4500000.0000000009</v>
      </c>
      <c r="AM37" s="55">
        <f>AJ37</f>
        <v>1200000</v>
      </c>
      <c r="AN37" s="55">
        <f>AM37+(Лизинг!C27*Расчёты!AL10)</f>
        <v>1600000</v>
      </c>
      <c r="AO37" s="55">
        <f>AN37</f>
        <v>1600000</v>
      </c>
      <c r="AP37" s="55">
        <f>AO37</f>
        <v>1600000</v>
      </c>
      <c r="AQ37" s="55">
        <f t="shared" ref="AQ37:AV37" si="58">AP37</f>
        <v>1600000</v>
      </c>
      <c r="AR37" s="55">
        <f t="shared" si="58"/>
        <v>1600000</v>
      </c>
      <c r="AS37" s="55">
        <f t="shared" si="58"/>
        <v>1600000</v>
      </c>
      <c r="AT37" s="55">
        <f t="shared" si="58"/>
        <v>1600000</v>
      </c>
      <c r="AU37" s="55">
        <f t="shared" si="58"/>
        <v>1600000</v>
      </c>
      <c r="AV37" s="55">
        <f t="shared" si="58"/>
        <v>1600000</v>
      </c>
      <c r="AW37" s="286">
        <f>AP37</f>
        <v>1600000</v>
      </c>
      <c r="AX37" s="348">
        <f>SUM(AL37:AW37)</f>
        <v>21700000</v>
      </c>
      <c r="AY37" s="139">
        <f>AW37+((Лизинг!C4-Лизинг!C6)*Расчёты!AY10)</f>
        <v>4900000.0000000009</v>
      </c>
      <c r="AZ37" s="55">
        <f>AW37</f>
        <v>1600000</v>
      </c>
      <c r="BA37" s="55">
        <f>AZ37+(Лизинг!C27*Расчёты!AY10)</f>
        <v>2000000</v>
      </c>
      <c r="BB37" s="55">
        <f>BA37</f>
        <v>2000000</v>
      </c>
      <c r="BC37" s="55">
        <f>BB37</f>
        <v>2000000</v>
      </c>
      <c r="BD37" s="55">
        <f t="shared" ref="BD37:BI37" si="59">BC37</f>
        <v>2000000</v>
      </c>
      <c r="BE37" s="55">
        <f t="shared" si="59"/>
        <v>2000000</v>
      </c>
      <c r="BF37" s="55">
        <f t="shared" si="59"/>
        <v>2000000</v>
      </c>
      <c r="BG37" s="55">
        <f t="shared" si="59"/>
        <v>2000000</v>
      </c>
      <c r="BH37" s="55">
        <f t="shared" si="59"/>
        <v>2000000</v>
      </c>
      <c r="BI37" s="55">
        <f t="shared" si="59"/>
        <v>2000000</v>
      </c>
      <c r="BJ37" s="286">
        <f>BC37</f>
        <v>2000000</v>
      </c>
      <c r="BK37" s="348">
        <f>SUM(AY37:BJ37)</f>
        <v>26500000</v>
      </c>
    </row>
    <row r="38" spans="1:63" s="194" customFormat="1" ht="13.5" customHeight="1">
      <c r="A38" s="246" t="s">
        <v>78</v>
      </c>
      <c r="B38" s="206" t="s">
        <v>16</v>
      </c>
      <c r="C38" s="292">
        <f>((K38+X38)+AK38)+AX38+BK38</f>
        <v>441191857.20956343</v>
      </c>
      <c r="D38" s="397">
        <f>D19+D23+D25+D26+D27+D28+D29+D30+D31+D32+D34+D35+D36+D37</f>
        <v>8936722.6345454548</v>
      </c>
      <c r="E38" s="301">
        <f>E19+E23+E25+E26+E27+E28+E29+E30+E31+E32+E34+E35+E36+E37</f>
        <v>4395332.8040369805</v>
      </c>
      <c r="F38" s="301">
        <f>F19+F23+F25+F26+F27+F28+F29+F30+F31+F32+F34+F35+F36+F37</f>
        <v>3054338.3125115559</v>
      </c>
      <c r="G38" s="301">
        <f t="shared" ref="G38:J38" si="60">G19+G23+G25+G26+G27+G28+G29+G30+G31+G32+G34+G35+G36+G37</f>
        <v>3619301.4481047764</v>
      </c>
      <c r="H38" s="301">
        <f t="shared" si="60"/>
        <v>3900764.5836979966</v>
      </c>
      <c r="I38" s="301">
        <f t="shared" si="60"/>
        <v>4182227.7192912172</v>
      </c>
      <c r="J38" s="301">
        <f t="shared" si="60"/>
        <v>4180190.8548844373</v>
      </c>
      <c r="K38" s="154">
        <f t="shared" ref="K38:K42" si="61">SUM(D38:J38)</f>
        <v>32268878.35707242</v>
      </c>
      <c r="L38" s="301">
        <f t="shared" ref="L38:W38" si="62">L19+L23+L25+L26+L27+L28+L29+L30+L31+L32+L34+L35+L36+L37</f>
        <v>6909923.9904776588</v>
      </c>
      <c r="M38" s="301">
        <f t="shared" si="62"/>
        <v>6066387.1260708775</v>
      </c>
      <c r="N38" s="301">
        <f t="shared" si="62"/>
        <v>4948717.5671905493</v>
      </c>
      <c r="O38" s="301">
        <f t="shared" si="62"/>
        <v>5099782.6801848998</v>
      </c>
      <c r="P38" s="301">
        <f t="shared" si="62"/>
        <v>5095729.1491114534</v>
      </c>
      <c r="Q38" s="301">
        <f t="shared" si="62"/>
        <v>5091675.6180380071</v>
      </c>
      <c r="R38" s="301">
        <f t="shared" si="62"/>
        <v>9497622.0869645625</v>
      </c>
      <c r="S38" s="301">
        <f t="shared" si="62"/>
        <v>6402068.5558911143</v>
      </c>
      <c r="T38" s="301">
        <f t="shared" si="62"/>
        <v>5373261.1464406773</v>
      </c>
      <c r="U38" s="301">
        <f t="shared" si="62"/>
        <v>5759599.7057627114</v>
      </c>
      <c r="V38" s="301">
        <f t="shared" si="62"/>
        <v>5752463.6888135588</v>
      </c>
      <c r="W38" s="301">
        <f t="shared" si="62"/>
        <v>5745327.6718644062</v>
      </c>
      <c r="X38" s="154">
        <f t="shared" ref="X38:X42" si="63">SUM(L38:W38)</f>
        <v>71742558.986810476</v>
      </c>
      <c r="Y38" s="301">
        <f t="shared" ref="Y38:AJ38" si="64">Y19+Y23+Y25+Y26+Y27+Y28+Y29+Y30+Y31+Y32+Y34+Y35+Y36+Y37</f>
        <v>12908191.654915255</v>
      </c>
      <c r="Z38" s="301">
        <f t="shared" si="64"/>
        <v>8968055.6379661001</v>
      </c>
      <c r="AA38" s="301">
        <f t="shared" si="64"/>
        <v>6809346.6074884441</v>
      </c>
      <c r="AB38" s="301">
        <f t="shared" si="64"/>
        <v>7345704.6583359009</v>
      </c>
      <c r="AC38" s="301">
        <f t="shared" si="64"/>
        <v>7333469.4888443761</v>
      </c>
      <c r="AD38" s="301">
        <f t="shared" si="64"/>
        <v>7321234.3193528503</v>
      </c>
      <c r="AE38" s="301">
        <f t="shared" si="64"/>
        <v>7308999.1498613246</v>
      </c>
      <c r="AF38" s="301">
        <f t="shared" si="64"/>
        <v>7296763.9803697998</v>
      </c>
      <c r="AG38" s="301">
        <f t="shared" si="64"/>
        <v>7284528.810878274</v>
      </c>
      <c r="AH38" s="301">
        <f t="shared" si="64"/>
        <v>7272293.6413867483</v>
      </c>
      <c r="AI38" s="301">
        <f t="shared" si="64"/>
        <v>7260058.4718952235</v>
      </c>
      <c r="AJ38" s="301">
        <f t="shared" si="64"/>
        <v>7247823.3024036977</v>
      </c>
      <c r="AK38" s="154">
        <f t="shared" ref="AK38:AK42" si="65">SUM(Y38:AJ38)</f>
        <v>94356469.72369799</v>
      </c>
      <c r="AL38" s="301">
        <f t="shared" ref="AL38:AW38" si="66">AL19+AL23+AL25+AL26+AL27+AL28+AL29+AL30+AL31+AL32+AL34+AL35+AL36+AL37</f>
        <v>12755588.132912174</v>
      </c>
      <c r="AM38" s="301">
        <f t="shared" si="66"/>
        <v>10460352.963420648</v>
      </c>
      <c r="AN38" s="301">
        <f t="shared" si="66"/>
        <v>8621349.6856908053</v>
      </c>
      <c r="AO38" s="301">
        <f t="shared" si="66"/>
        <v>9051262.5387981497</v>
      </c>
      <c r="AP38" s="301">
        <f t="shared" si="66"/>
        <v>9035124.5444478691</v>
      </c>
      <c r="AQ38" s="301">
        <f t="shared" si="66"/>
        <v>9018986.5500975847</v>
      </c>
      <c r="AR38" s="301">
        <f t="shared" si="66"/>
        <v>9002848.5557473041</v>
      </c>
      <c r="AS38" s="301">
        <f t="shared" si="66"/>
        <v>8986710.5613970216</v>
      </c>
      <c r="AT38" s="301">
        <f t="shared" si="66"/>
        <v>8970572.5670467392</v>
      </c>
      <c r="AU38" s="301">
        <f t="shared" si="66"/>
        <v>8954434.5726964548</v>
      </c>
      <c r="AV38" s="301">
        <f t="shared" si="66"/>
        <v>8938296.5783461742</v>
      </c>
      <c r="AW38" s="301">
        <f t="shared" si="66"/>
        <v>9018986.5500975847</v>
      </c>
      <c r="AX38" s="245">
        <f t="shared" ref="AX38:AX42" si="67">SUM(AL38:AW38)</f>
        <v>112814513.8006985</v>
      </c>
      <c r="AY38" s="301">
        <f t="shared" ref="AY38:BJ38" si="68">AY19+AY23+AY25+AY26+AY27+AY28+AY29+AY30+AY31+AY32+AY34+AY35+AY36+AY37</f>
        <v>14585560.420154084</v>
      </c>
      <c r="AZ38" s="301">
        <f t="shared" si="68"/>
        <v>12285042.764786851</v>
      </c>
      <c r="BA38" s="301">
        <f t="shared" si="68"/>
        <v>10403214.374956343</v>
      </c>
      <c r="BB38" s="301">
        <f t="shared" si="68"/>
        <v>9966173.5557473041</v>
      </c>
      <c r="BC38" s="301">
        <f t="shared" si="68"/>
        <v>10363132.736538263</v>
      </c>
      <c r="BD38" s="301">
        <f t="shared" si="68"/>
        <v>10343091.917329224</v>
      </c>
      <c r="BE38" s="301">
        <f t="shared" si="68"/>
        <v>10323051.098120185</v>
      </c>
      <c r="BF38" s="301">
        <f t="shared" si="68"/>
        <v>10365722.143317925</v>
      </c>
      <c r="BG38" s="301">
        <f t="shared" si="68"/>
        <v>10344301.663091935</v>
      </c>
      <c r="BH38" s="301">
        <f t="shared" si="68"/>
        <v>10322881.182865947</v>
      </c>
      <c r="BI38" s="301">
        <f t="shared" si="68"/>
        <v>10301460.70263996</v>
      </c>
      <c r="BJ38" s="301">
        <f t="shared" si="68"/>
        <v>10405803.781736005</v>
      </c>
      <c r="BK38" s="245">
        <f t="shared" ref="BK38:BK42" si="69">SUM(AY38:BJ38)</f>
        <v>130009436.34128402</v>
      </c>
    </row>
    <row r="39" spans="1:63" ht="12" customHeight="1">
      <c r="A39" s="179" t="s">
        <v>79</v>
      </c>
      <c r="B39" s="169" t="s">
        <v>16</v>
      </c>
      <c r="C39" s="290">
        <f>((K39+X39)+AK39)+AX39+BK39</f>
        <v>230808142.79043657</v>
      </c>
      <c r="D39" s="313">
        <f t="shared" ref="D39:J39" si="70">D14-D38</f>
        <v>-8936722.6345454548</v>
      </c>
      <c r="E39" s="299">
        <f t="shared" si="70"/>
        <v>-3695332.8040369805</v>
      </c>
      <c r="F39" s="55">
        <f t="shared" si="70"/>
        <v>-1654338.3125115559</v>
      </c>
      <c r="G39" s="55">
        <f t="shared" si="70"/>
        <v>-819301.44810477644</v>
      </c>
      <c r="H39" s="55">
        <f t="shared" si="70"/>
        <v>-400764.58369799657</v>
      </c>
      <c r="I39" s="55">
        <f t="shared" si="70"/>
        <v>17772.280708782841</v>
      </c>
      <c r="J39" s="64">
        <f t="shared" si="70"/>
        <v>19809.145115562715</v>
      </c>
      <c r="K39" s="154">
        <f t="shared" si="61"/>
        <v>-15468878.35707242</v>
      </c>
      <c r="L39" s="139">
        <f t="shared" ref="L39:W39" si="71">L14-L38</f>
        <v>-2709923.9904776588</v>
      </c>
      <c r="M39" s="55">
        <f t="shared" si="71"/>
        <v>-1866387.1260708775</v>
      </c>
      <c r="N39" s="55">
        <f t="shared" si="71"/>
        <v>1351282.4328094507</v>
      </c>
      <c r="O39" s="55">
        <f t="shared" si="71"/>
        <v>1200217.3198151002</v>
      </c>
      <c r="P39" s="55">
        <f t="shared" si="71"/>
        <v>1204270.8508885466</v>
      </c>
      <c r="Q39" s="55">
        <f t="shared" si="71"/>
        <v>1208324.3819619929</v>
      </c>
      <c r="R39" s="55">
        <f t="shared" si="71"/>
        <v>-3197622.0869645625</v>
      </c>
      <c r="S39" s="55">
        <f t="shared" si="71"/>
        <v>-102068.55589111429</v>
      </c>
      <c r="T39" s="55">
        <f t="shared" si="71"/>
        <v>1626738.8535593227</v>
      </c>
      <c r="U39" s="55">
        <f t="shared" si="71"/>
        <v>2640400.2942372886</v>
      </c>
      <c r="V39" s="55">
        <f t="shared" si="71"/>
        <v>2647536.3111864412</v>
      </c>
      <c r="W39" s="64">
        <f t="shared" si="71"/>
        <v>2654672.3281355938</v>
      </c>
      <c r="X39" s="154">
        <f t="shared" si="63"/>
        <v>6657441.0131895235</v>
      </c>
      <c r="Y39" s="139">
        <f t="shared" ref="Y39:AJ39" si="72">Y14-Y38</f>
        <v>-4508191.6549152546</v>
      </c>
      <c r="Z39" s="55">
        <f t="shared" si="72"/>
        <v>-568055.63796610013</v>
      </c>
      <c r="AA39" s="55">
        <f t="shared" si="72"/>
        <v>4390653.3925115559</v>
      </c>
      <c r="AB39" s="55">
        <f t="shared" si="72"/>
        <v>5254295.3416640991</v>
      </c>
      <c r="AC39" s="55">
        <f t="shared" si="72"/>
        <v>5266530.5111556239</v>
      </c>
      <c r="AD39" s="55">
        <f t="shared" si="72"/>
        <v>5278765.6806471497</v>
      </c>
      <c r="AE39" s="55">
        <f t="shared" si="72"/>
        <v>5291000.8501386754</v>
      </c>
      <c r="AF39" s="55">
        <f t="shared" si="72"/>
        <v>5303236.0196302002</v>
      </c>
      <c r="AG39" s="55">
        <f t="shared" si="72"/>
        <v>5315471.189121726</v>
      </c>
      <c r="AH39" s="55">
        <f t="shared" si="72"/>
        <v>5327706.3586132517</v>
      </c>
      <c r="AI39" s="55">
        <f t="shared" si="72"/>
        <v>5339941.5281047765</v>
      </c>
      <c r="AJ39" s="336">
        <f t="shared" si="72"/>
        <v>5352176.6975963023</v>
      </c>
      <c r="AK39" s="154">
        <f t="shared" si="65"/>
        <v>47043530.27630201</v>
      </c>
      <c r="AL39" s="139">
        <f t="shared" ref="AL39:AW39" si="73">AL14-AL38</f>
        <v>-155588.13291217387</v>
      </c>
      <c r="AM39" s="55">
        <f t="shared" si="73"/>
        <v>2139647.0365793519</v>
      </c>
      <c r="AN39" s="55">
        <f t="shared" si="73"/>
        <v>6778650.3143091947</v>
      </c>
      <c r="AO39" s="55">
        <f t="shared" si="73"/>
        <v>7748737.4612018503</v>
      </c>
      <c r="AP39" s="55">
        <f t="shared" si="73"/>
        <v>7764875.4555521309</v>
      </c>
      <c r="AQ39" s="55">
        <f t="shared" si="73"/>
        <v>7781013.4499024153</v>
      </c>
      <c r="AR39" s="55">
        <f t="shared" si="73"/>
        <v>7797151.4442526959</v>
      </c>
      <c r="AS39" s="55">
        <f t="shared" si="73"/>
        <v>7813289.4386029784</v>
      </c>
      <c r="AT39" s="55">
        <f t="shared" si="73"/>
        <v>7829427.4329532608</v>
      </c>
      <c r="AU39" s="55">
        <f t="shared" si="73"/>
        <v>7845565.4273035452</v>
      </c>
      <c r="AV39" s="55">
        <f t="shared" si="73"/>
        <v>7861703.4216538258</v>
      </c>
      <c r="AW39" s="336">
        <f t="shared" si="73"/>
        <v>7781013.4499024153</v>
      </c>
      <c r="AX39" s="245">
        <f t="shared" si="67"/>
        <v>78985486.199301496</v>
      </c>
      <c r="AY39" s="139">
        <f t="shared" ref="AY39:BJ39" si="74">AY14-AY38</f>
        <v>2214439.5798459165</v>
      </c>
      <c r="AZ39" s="55">
        <f t="shared" si="74"/>
        <v>4514957.2352131493</v>
      </c>
      <c r="BA39" s="55">
        <f t="shared" si="74"/>
        <v>10596785.625043657</v>
      </c>
      <c r="BB39" s="55">
        <f t="shared" si="74"/>
        <v>11033826.444252696</v>
      </c>
      <c r="BC39" s="55">
        <f t="shared" si="74"/>
        <v>10636867.263461737</v>
      </c>
      <c r="BD39" s="55">
        <f t="shared" si="74"/>
        <v>10656908.082670776</v>
      </c>
      <c r="BE39" s="55">
        <f t="shared" si="74"/>
        <v>10676948.901879815</v>
      </c>
      <c r="BF39" s="55">
        <f t="shared" si="74"/>
        <v>10634277.856682075</v>
      </c>
      <c r="BG39" s="55">
        <f t="shared" si="74"/>
        <v>10655698.336908065</v>
      </c>
      <c r="BH39" s="55">
        <f t="shared" si="74"/>
        <v>10677118.817134053</v>
      </c>
      <c r="BI39" s="55">
        <f t="shared" si="74"/>
        <v>10698539.29736004</v>
      </c>
      <c r="BJ39" s="336">
        <f t="shared" si="74"/>
        <v>10594196.218263995</v>
      </c>
      <c r="BK39" s="245">
        <f t="shared" si="69"/>
        <v>113590563.65871598</v>
      </c>
    </row>
    <row r="40" spans="1:63" ht="12" customHeight="1">
      <c r="A40" s="349" t="s">
        <v>228</v>
      </c>
      <c r="B40" s="169" t="s">
        <v>16</v>
      </c>
      <c r="C40" s="290">
        <f>((K40+X40)+AK40)+AX40+BK40</f>
        <v>60949993.364189833</v>
      </c>
      <c r="D40" s="313">
        <f>IF((D39&lt;0),0,(D39*0.15))</f>
        <v>0</v>
      </c>
      <c r="E40" s="313">
        <f t="shared" ref="E40:J40" si="75">IF((E39&lt;0),0,(E39*0.15))</f>
        <v>0</v>
      </c>
      <c r="F40" s="313">
        <f t="shared" si="75"/>
        <v>0</v>
      </c>
      <c r="G40" s="313">
        <f t="shared" si="75"/>
        <v>0</v>
      </c>
      <c r="H40" s="313">
        <f t="shared" si="75"/>
        <v>0</v>
      </c>
      <c r="I40" s="313">
        <f t="shared" si="75"/>
        <v>2665.842106317426</v>
      </c>
      <c r="J40" s="313">
        <f t="shared" si="75"/>
        <v>2971.3717673344072</v>
      </c>
      <c r="K40" s="154">
        <f t="shared" si="61"/>
        <v>5637.2138736518336</v>
      </c>
      <c r="L40" s="313">
        <f t="shared" ref="L40:W40" si="76">IF((L39&lt;0),0,(L39*0.15))</f>
        <v>0</v>
      </c>
      <c r="M40" s="313">
        <f t="shared" si="76"/>
        <v>0</v>
      </c>
      <c r="N40" s="313">
        <f t="shared" si="76"/>
        <v>202692.36492141758</v>
      </c>
      <c r="O40" s="313">
        <f t="shared" si="76"/>
        <v>180032.59797226501</v>
      </c>
      <c r="P40" s="313">
        <f t="shared" si="76"/>
        <v>180640.62763328198</v>
      </c>
      <c r="Q40" s="313">
        <f t="shared" si="76"/>
        <v>181248.65729429893</v>
      </c>
      <c r="R40" s="313">
        <f t="shared" si="76"/>
        <v>0</v>
      </c>
      <c r="S40" s="313">
        <f t="shared" si="76"/>
        <v>0</v>
      </c>
      <c r="T40" s="313">
        <f t="shared" si="76"/>
        <v>244010.82803389837</v>
      </c>
      <c r="U40" s="313">
        <f t="shared" si="76"/>
        <v>396060.04413559329</v>
      </c>
      <c r="V40" s="313">
        <f t="shared" si="76"/>
        <v>397130.44667796616</v>
      </c>
      <c r="W40" s="313">
        <f t="shared" si="76"/>
        <v>398200.84922033903</v>
      </c>
      <c r="X40" s="154">
        <f t="shared" si="63"/>
        <v>2180016.4158890606</v>
      </c>
      <c r="Y40" s="139">
        <f t="shared" ref="Y40:AJ40" si="77">IF((Y39&lt;0),0,(Y39*0.24))</f>
        <v>0</v>
      </c>
      <c r="Z40" s="55">
        <f t="shared" si="77"/>
        <v>0</v>
      </c>
      <c r="AA40" s="55">
        <f t="shared" si="77"/>
        <v>1053756.8142027734</v>
      </c>
      <c r="AB40" s="55">
        <f t="shared" si="77"/>
        <v>1261030.8819993837</v>
      </c>
      <c r="AC40" s="55">
        <f t="shared" si="77"/>
        <v>1263967.3226773497</v>
      </c>
      <c r="AD40" s="55">
        <f t="shared" si="77"/>
        <v>1266903.7633553159</v>
      </c>
      <c r="AE40" s="55">
        <f t="shared" si="77"/>
        <v>1269840.2040332821</v>
      </c>
      <c r="AF40" s="55">
        <f t="shared" si="77"/>
        <v>1272776.6447112481</v>
      </c>
      <c r="AG40" s="55">
        <f t="shared" si="77"/>
        <v>1275713.0853892141</v>
      </c>
      <c r="AH40" s="55">
        <f t="shared" si="77"/>
        <v>1278649.5260671803</v>
      </c>
      <c r="AI40" s="55">
        <f t="shared" si="77"/>
        <v>1281585.9667451463</v>
      </c>
      <c r="AJ40" s="336">
        <f t="shared" si="77"/>
        <v>1284522.4074231125</v>
      </c>
      <c r="AK40" s="154">
        <f t="shared" si="65"/>
        <v>12508746.616604006</v>
      </c>
      <c r="AL40" s="139">
        <f t="shared" ref="AL40:AW40" si="78">IF((AL39&lt;0),0,(AL39*0.24))</f>
        <v>0</v>
      </c>
      <c r="AM40" s="55">
        <f t="shared" si="78"/>
        <v>513515.28877904441</v>
      </c>
      <c r="AN40" s="55">
        <f t="shared" si="78"/>
        <v>1626876.0754342068</v>
      </c>
      <c r="AO40" s="55">
        <f t="shared" si="78"/>
        <v>1859696.9906884441</v>
      </c>
      <c r="AP40" s="55">
        <f t="shared" si="78"/>
        <v>1863570.1093325114</v>
      </c>
      <c r="AQ40" s="55">
        <f t="shared" si="78"/>
        <v>1867443.2279765797</v>
      </c>
      <c r="AR40" s="55">
        <f t="shared" si="78"/>
        <v>1871316.346620647</v>
      </c>
      <c r="AS40" s="55">
        <f t="shared" si="78"/>
        <v>1875189.4652647148</v>
      </c>
      <c r="AT40" s="55">
        <f t="shared" si="78"/>
        <v>1879062.5839087826</v>
      </c>
      <c r="AU40" s="55">
        <f t="shared" si="78"/>
        <v>1882935.7025528508</v>
      </c>
      <c r="AV40" s="55">
        <f t="shared" si="78"/>
        <v>1886808.8211969181</v>
      </c>
      <c r="AW40" s="336">
        <f t="shared" si="78"/>
        <v>1867443.2279765797</v>
      </c>
      <c r="AX40" s="245">
        <f t="shared" si="67"/>
        <v>18993857.83973128</v>
      </c>
      <c r="AY40" s="139">
        <f t="shared" ref="AY40:BJ40" si="79">IF((AY39&lt;0),0,(AY39*0.24))</f>
        <v>531465.49916301994</v>
      </c>
      <c r="AZ40" s="55">
        <f t="shared" si="79"/>
        <v>1083589.7364511557</v>
      </c>
      <c r="BA40" s="55">
        <f t="shared" si="79"/>
        <v>2543228.5500104777</v>
      </c>
      <c r="BB40" s="55">
        <f t="shared" si="79"/>
        <v>2648118.3466206468</v>
      </c>
      <c r="BC40" s="55">
        <f t="shared" si="79"/>
        <v>2552848.1432308168</v>
      </c>
      <c r="BD40" s="55">
        <f t="shared" si="79"/>
        <v>2557657.9398409864</v>
      </c>
      <c r="BE40" s="55">
        <f t="shared" si="79"/>
        <v>2562467.7364511555</v>
      </c>
      <c r="BF40" s="55">
        <f t="shared" si="79"/>
        <v>2552226.6856036978</v>
      </c>
      <c r="BG40" s="55">
        <f t="shared" si="79"/>
        <v>2557367.6008579354</v>
      </c>
      <c r="BH40" s="55">
        <f t="shared" si="79"/>
        <v>2562508.5161121725</v>
      </c>
      <c r="BI40" s="55">
        <f t="shared" si="79"/>
        <v>2567649.4313664096</v>
      </c>
      <c r="BJ40" s="336">
        <f t="shared" si="79"/>
        <v>2542607.0923833586</v>
      </c>
      <c r="BK40" s="245">
        <f t="shared" si="69"/>
        <v>27261735.278091833</v>
      </c>
    </row>
    <row r="41" spans="1:63" ht="12" customHeight="1">
      <c r="A41" s="179" t="s">
        <v>80</v>
      </c>
      <c r="B41" s="169" t="s">
        <v>16</v>
      </c>
      <c r="C41" s="290">
        <f>SUM(D41:BJ41)</f>
        <v>253387470.47186935</v>
      </c>
      <c r="D41" s="313">
        <f t="shared" ref="D41:J41" si="80">D39-D40</f>
        <v>-8936722.6345454548</v>
      </c>
      <c r="E41" s="299">
        <f t="shared" si="80"/>
        <v>-3695332.8040369805</v>
      </c>
      <c r="F41" s="55">
        <f t="shared" si="80"/>
        <v>-1654338.3125115559</v>
      </c>
      <c r="G41" s="55">
        <f t="shared" si="80"/>
        <v>-819301.44810477644</v>
      </c>
      <c r="H41" s="55">
        <f t="shared" si="80"/>
        <v>-400764.58369799657</v>
      </c>
      <c r="I41" s="55">
        <f t="shared" si="80"/>
        <v>15106.438602465414</v>
      </c>
      <c r="J41" s="64">
        <f t="shared" si="80"/>
        <v>16837.773348228307</v>
      </c>
      <c r="K41" s="154">
        <f t="shared" si="61"/>
        <v>-15474515.570946069</v>
      </c>
      <c r="L41" s="139">
        <f t="shared" ref="L41:W41" si="81">L39-L40</f>
        <v>-2709923.9904776588</v>
      </c>
      <c r="M41" s="55">
        <f t="shared" si="81"/>
        <v>-1866387.1260708775</v>
      </c>
      <c r="N41" s="55">
        <f t="shared" si="81"/>
        <v>1148590.0678880331</v>
      </c>
      <c r="O41" s="55">
        <f t="shared" si="81"/>
        <v>1020184.7218428352</v>
      </c>
      <c r="P41" s="55">
        <f t="shared" si="81"/>
        <v>1023630.2232552646</v>
      </c>
      <c r="Q41" s="55">
        <f t="shared" si="81"/>
        <v>1027075.724667694</v>
      </c>
      <c r="R41" s="55">
        <f t="shared" si="81"/>
        <v>-3197622.0869645625</v>
      </c>
      <c r="S41" s="55">
        <f t="shared" si="81"/>
        <v>-102068.55589111429</v>
      </c>
      <c r="T41" s="55">
        <f t="shared" si="81"/>
        <v>1382728.0255254242</v>
      </c>
      <c r="U41" s="55">
        <f t="shared" si="81"/>
        <v>2244340.2501016953</v>
      </c>
      <c r="V41" s="55">
        <f t="shared" si="81"/>
        <v>2250405.8645084752</v>
      </c>
      <c r="W41" s="64">
        <f t="shared" si="81"/>
        <v>2256471.4789152546</v>
      </c>
      <c r="X41" s="154">
        <f t="shared" si="63"/>
        <v>4477424.5973004624</v>
      </c>
      <c r="Y41" s="139">
        <f t="shared" ref="Y41:AJ41" si="82">Y39-Y40</f>
        <v>-4508191.6549152546</v>
      </c>
      <c r="Z41" s="55">
        <f t="shared" si="82"/>
        <v>-568055.63796610013</v>
      </c>
      <c r="AA41" s="55">
        <f t="shared" si="82"/>
        <v>3336896.5783087825</v>
      </c>
      <c r="AB41" s="55">
        <f t="shared" si="82"/>
        <v>3993264.4596647155</v>
      </c>
      <c r="AC41" s="55">
        <f t="shared" si="82"/>
        <v>4002563.1884782743</v>
      </c>
      <c r="AD41" s="55">
        <f t="shared" si="82"/>
        <v>4011861.917291834</v>
      </c>
      <c r="AE41" s="55">
        <f t="shared" si="82"/>
        <v>4021160.6461053933</v>
      </c>
      <c r="AF41" s="55">
        <f t="shared" si="82"/>
        <v>4030459.3749189521</v>
      </c>
      <c r="AG41" s="55">
        <f t="shared" si="82"/>
        <v>4039758.1037325119</v>
      </c>
      <c r="AH41" s="55">
        <f t="shared" si="82"/>
        <v>4049056.8325460711</v>
      </c>
      <c r="AI41" s="55">
        <f t="shared" si="82"/>
        <v>4058355.56135963</v>
      </c>
      <c r="AJ41" s="336">
        <f t="shared" si="82"/>
        <v>4067654.2901731897</v>
      </c>
      <c r="AK41" s="154">
        <f t="shared" si="65"/>
        <v>34534783.659697995</v>
      </c>
      <c r="AL41" s="139">
        <f t="shared" ref="AL41:AW41" si="83">AL39-AL40</f>
        <v>-155588.13291217387</v>
      </c>
      <c r="AM41" s="55">
        <f t="shared" si="83"/>
        <v>1626131.7478003073</v>
      </c>
      <c r="AN41" s="55">
        <f t="shared" si="83"/>
        <v>5151774.2388749877</v>
      </c>
      <c r="AO41" s="55">
        <f t="shared" si="83"/>
        <v>5889040.4705134062</v>
      </c>
      <c r="AP41" s="55">
        <f t="shared" si="83"/>
        <v>5901305.3462196197</v>
      </c>
      <c r="AQ41" s="55">
        <f t="shared" si="83"/>
        <v>5913570.2219258361</v>
      </c>
      <c r="AR41" s="55">
        <f t="shared" si="83"/>
        <v>5925835.0976320487</v>
      </c>
      <c r="AS41" s="55">
        <f t="shared" si="83"/>
        <v>5938099.9733382631</v>
      </c>
      <c r="AT41" s="55">
        <f t="shared" si="83"/>
        <v>5950364.8490444785</v>
      </c>
      <c r="AU41" s="55">
        <f t="shared" si="83"/>
        <v>5962629.7247506939</v>
      </c>
      <c r="AV41" s="55">
        <f t="shared" si="83"/>
        <v>5974894.6004569074</v>
      </c>
      <c r="AW41" s="336">
        <f t="shared" si="83"/>
        <v>5913570.2219258361</v>
      </c>
      <c r="AX41" s="245">
        <f t="shared" si="67"/>
        <v>59991628.35957022</v>
      </c>
      <c r="AY41" s="139">
        <f t="shared" ref="AY41:BJ41" si="84">AY39-AY40</f>
        <v>1682974.0806828965</v>
      </c>
      <c r="AZ41" s="55">
        <f t="shared" si="84"/>
        <v>3431367.4987619938</v>
      </c>
      <c r="BA41" s="55">
        <f t="shared" si="84"/>
        <v>8053557.0750331786</v>
      </c>
      <c r="BB41" s="55">
        <f t="shared" si="84"/>
        <v>8385708.0976320487</v>
      </c>
      <c r="BC41" s="55">
        <f t="shared" si="84"/>
        <v>8084019.1202309206</v>
      </c>
      <c r="BD41" s="55">
        <f t="shared" si="84"/>
        <v>8099250.1428297898</v>
      </c>
      <c r="BE41" s="55">
        <f t="shared" si="84"/>
        <v>8114481.1654286599</v>
      </c>
      <c r="BF41" s="55">
        <f t="shared" si="84"/>
        <v>8082051.1710783774</v>
      </c>
      <c r="BG41" s="55">
        <f t="shared" si="84"/>
        <v>8098330.7360501289</v>
      </c>
      <c r="BH41" s="55">
        <f t="shared" si="84"/>
        <v>8114610.3010218795</v>
      </c>
      <c r="BI41" s="55">
        <f t="shared" si="84"/>
        <v>8130889.8659936301</v>
      </c>
      <c r="BJ41" s="336">
        <f t="shared" si="84"/>
        <v>8051589.1258806363</v>
      </c>
      <c r="BK41" s="245">
        <f t="shared" si="69"/>
        <v>86328828.380624145</v>
      </c>
    </row>
    <row r="42" spans="1:63" ht="12" customHeight="1">
      <c r="A42" s="179" t="s">
        <v>81</v>
      </c>
      <c r="B42" s="169" t="s">
        <v>16</v>
      </c>
      <c r="C42" s="290">
        <f>BK42</f>
        <v>97344365.103788003</v>
      </c>
      <c r="D42" s="313">
        <f t="shared" ref="D42:J42" si="85">(D41+D19)+D23</f>
        <v>-8936722.6345454548</v>
      </c>
      <c r="E42" s="299">
        <f t="shared" si="85"/>
        <v>-3626688.7362403702</v>
      </c>
      <c r="F42" s="55">
        <f t="shared" si="85"/>
        <v>-1561753.566748844</v>
      </c>
      <c r="G42" s="55">
        <f t="shared" si="85"/>
        <v>-726716.70234206459</v>
      </c>
      <c r="H42" s="55">
        <f t="shared" si="85"/>
        <v>-308179.83793528471</v>
      </c>
      <c r="I42" s="55">
        <f t="shared" si="85"/>
        <v>107691.18436517728</v>
      </c>
      <c r="J42" s="64">
        <f t="shared" si="85"/>
        <v>109422.51911094018</v>
      </c>
      <c r="K42" s="154">
        <f t="shared" si="61"/>
        <v>-14942947.7743359</v>
      </c>
      <c r="L42" s="139">
        <f t="shared" ref="L42:W42" si="86">(L41+L19)+L23</f>
        <v>-2617339.244714947</v>
      </c>
      <c r="M42" s="55">
        <f t="shared" si="86"/>
        <v>-1773802.3803081657</v>
      </c>
      <c r="N42" s="55">
        <f t="shared" si="86"/>
        <v>1332841.4803174117</v>
      </c>
      <c r="O42" s="55">
        <f t="shared" si="86"/>
        <v>1204436.1342722138</v>
      </c>
      <c r="P42" s="55">
        <f t="shared" si="86"/>
        <v>1207881.6356846432</v>
      </c>
      <c r="Q42" s="55">
        <f t="shared" si="86"/>
        <v>1211327.1370970726</v>
      </c>
      <c r="R42" s="55">
        <f t="shared" si="86"/>
        <v>-3013370.6745351842</v>
      </c>
      <c r="S42" s="55">
        <f t="shared" si="86"/>
        <v>82182.85653826427</v>
      </c>
      <c r="T42" s="55">
        <f t="shared" si="86"/>
        <v>1707092.4323050852</v>
      </c>
      <c r="U42" s="55">
        <f t="shared" si="86"/>
        <v>2568704.6568813561</v>
      </c>
      <c r="V42" s="55">
        <f t="shared" si="86"/>
        <v>2574770.271288136</v>
      </c>
      <c r="W42" s="64">
        <f t="shared" si="86"/>
        <v>2580835.8856949154</v>
      </c>
      <c r="X42" s="154">
        <f t="shared" si="63"/>
        <v>7065560.1905208016</v>
      </c>
      <c r="Y42" s="139">
        <f t="shared" ref="Y42:AJ42" si="87">(Y41+Y19)+Y23</f>
        <v>-4183827.2481355937</v>
      </c>
      <c r="Z42" s="55">
        <f t="shared" si="87"/>
        <v>-243691.23118643905</v>
      </c>
      <c r="AA42" s="55">
        <f t="shared" si="87"/>
        <v>3893040.6461053928</v>
      </c>
      <c r="AB42" s="55">
        <f t="shared" si="87"/>
        <v>4549408.5274613257</v>
      </c>
      <c r="AC42" s="55">
        <f t="shared" si="87"/>
        <v>4558707.2562748846</v>
      </c>
      <c r="AD42" s="55">
        <f t="shared" si="87"/>
        <v>4568005.9850884434</v>
      </c>
      <c r="AE42" s="55">
        <f t="shared" si="87"/>
        <v>4577304.7139020031</v>
      </c>
      <c r="AF42" s="55">
        <f t="shared" si="87"/>
        <v>4586603.4427155619</v>
      </c>
      <c r="AG42" s="55">
        <f t="shared" si="87"/>
        <v>4595902.1715291217</v>
      </c>
      <c r="AH42" s="55">
        <f t="shared" si="87"/>
        <v>4605200.9003426805</v>
      </c>
      <c r="AI42" s="55">
        <f t="shared" si="87"/>
        <v>4614499.6291562393</v>
      </c>
      <c r="AJ42" s="336">
        <f t="shared" si="87"/>
        <v>4623798.3579698</v>
      </c>
      <c r="AK42" s="154">
        <f t="shared" si="65"/>
        <v>40744953.151223414</v>
      </c>
      <c r="AL42" s="139">
        <f t="shared" ref="AL42:AW42" si="88">(AL41+AL19)+AL23</f>
        <v>400555.93488443637</v>
      </c>
      <c r="AM42" s="55">
        <f t="shared" si="88"/>
        <v>2182275.8155969176</v>
      </c>
      <c r="AN42" s="55">
        <f t="shared" si="88"/>
        <v>5885319.4366151011</v>
      </c>
      <c r="AO42" s="55">
        <f t="shared" si="88"/>
        <v>6622585.6682535196</v>
      </c>
      <c r="AP42" s="55">
        <f t="shared" si="88"/>
        <v>6634850.5439597331</v>
      </c>
      <c r="AQ42" s="55">
        <f t="shared" si="88"/>
        <v>6647115.4196659494</v>
      </c>
      <c r="AR42" s="55">
        <f t="shared" si="88"/>
        <v>6659380.295372162</v>
      </c>
      <c r="AS42" s="55">
        <f t="shared" si="88"/>
        <v>6671645.1710783765</v>
      </c>
      <c r="AT42" s="55">
        <f t="shared" si="88"/>
        <v>6683910.0467845919</v>
      </c>
      <c r="AU42" s="55">
        <f t="shared" si="88"/>
        <v>6696174.9224908073</v>
      </c>
      <c r="AV42" s="55">
        <f t="shared" si="88"/>
        <v>6708439.7981970208</v>
      </c>
      <c r="AW42" s="336">
        <f t="shared" si="88"/>
        <v>6647115.4196659494</v>
      </c>
      <c r="AX42" s="245">
        <f t="shared" si="67"/>
        <v>68439368.472564563</v>
      </c>
      <c r="AY42" s="139">
        <f t="shared" ref="AY42:BJ42" si="89">(AY41+AY19)+AY23</f>
        <v>2479231.1428297893</v>
      </c>
      <c r="AZ42" s="55">
        <f t="shared" si="89"/>
        <v>4227624.5609088866</v>
      </c>
      <c r="BA42" s="55">
        <f t="shared" si="89"/>
        <v>8964503.402716795</v>
      </c>
      <c r="BB42" s="55">
        <f t="shared" si="89"/>
        <v>9296654.4253156651</v>
      </c>
      <c r="BC42" s="55">
        <f t="shared" si="89"/>
        <v>8994965.447914537</v>
      </c>
      <c r="BD42" s="55">
        <f t="shared" si="89"/>
        <v>9010196.4705134071</v>
      </c>
      <c r="BE42" s="55">
        <f t="shared" si="89"/>
        <v>9025427.4931122772</v>
      </c>
      <c r="BF42" s="55">
        <f t="shared" si="89"/>
        <v>9055709.3631687742</v>
      </c>
      <c r="BG42" s="55">
        <f t="shared" si="89"/>
        <v>9071988.9281405248</v>
      </c>
      <c r="BH42" s="55">
        <f t="shared" si="89"/>
        <v>9088268.4931122754</v>
      </c>
      <c r="BI42" s="55">
        <f t="shared" si="89"/>
        <v>9104548.058084026</v>
      </c>
      <c r="BJ42" s="336">
        <f t="shared" si="89"/>
        <v>9025247.3179710321</v>
      </c>
      <c r="BK42" s="245">
        <f t="shared" si="69"/>
        <v>97344365.103788003</v>
      </c>
    </row>
    <row r="43" spans="1:63" ht="16.5" customHeight="1">
      <c r="A43" s="167" t="s">
        <v>82</v>
      </c>
      <c r="B43" s="128" t="s">
        <v>16</v>
      </c>
      <c r="C43" s="293">
        <f>BJ43</f>
        <v>198651299.14376083</v>
      </c>
      <c r="D43" s="320">
        <f>D42</f>
        <v>-8936722.6345454548</v>
      </c>
      <c r="E43" s="306">
        <f t="shared" ref="E43:J43" si="90">D43+E42</f>
        <v>-12563411.370785825</v>
      </c>
      <c r="F43" s="177">
        <f t="shared" si="90"/>
        <v>-14125164.937534669</v>
      </c>
      <c r="G43" s="177">
        <f t="shared" si="90"/>
        <v>-14851881.639876734</v>
      </c>
      <c r="H43" s="177">
        <f t="shared" si="90"/>
        <v>-15160061.477812018</v>
      </c>
      <c r="I43" s="177">
        <f t="shared" si="90"/>
        <v>-15052370.293446841</v>
      </c>
      <c r="J43" s="88">
        <f t="shared" si="90"/>
        <v>-14942947.7743359</v>
      </c>
      <c r="K43" s="154"/>
      <c r="L43" s="185">
        <f>J43+L42</f>
        <v>-17560287.019050848</v>
      </c>
      <c r="M43" s="177">
        <f t="shared" ref="M43:W43" si="91">L43+M42</f>
        <v>-19334089.399359014</v>
      </c>
      <c r="N43" s="177">
        <f t="shared" si="91"/>
        <v>-18001247.919041604</v>
      </c>
      <c r="O43" s="177">
        <f t="shared" si="91"/>
        <v>-16796811.78476939</v>
      </c>
      <c r="P43" s="177">
        <f t="shared" si="91"/>
        <v>-15588930.149084747</v>
      </c>
      <c r="Q43" s="177">
        <f t="shared" si="91"/>
        <v>-14377603.011987675</v>
      </c>
      <c r="R43" s="177">
        <f t="shared" si="91"/>
        <v>-17390973.68652286</v>
      </c>
      <c r="S43" s="177">
        <f t="shared" si="91"/>
        <v>-17308790.829984594</v>
      </c>
      <c r="T43" s="177">
        <f t="shared" si="91"/>
        <v>-15601698.39767951</v>
      </c>
      <c r="U43" s="177">
        <f t="shared" si="91"/>
        <v>-13032993.740798153</v>
      </c>
      <c r="V43" s="177">
        <f t="shared" si="91"/>
        <v>-10458223.469510017</v>
      </c>
      <c r="W43" s="88">
        <f t="shared" si="91"/>
        <v>-7877387.5838151015</v>
      </c>
      <c r="X43" s="154"/>
      <c r="Y43" s="185">
        <f>W43+Y42</f>
        <v>-12061214.831950694</v>
      </c>
      <c r="Z43" s="177">
        <f t="shared" ref="Z43:AJ43" si="92">Y43+Z42</f>
        <v>-12304906.063137133</v>
      </c>
      <c r="AA43" s="177">
        <f t="shared" si="92"/>
        <v>-8411865.4170317389</v>
      </c>
      <c r="AB43" s="177">
        <f t="shared" si="92"/>
        <v>-3862456.8895704132</v>
      </c>
      <c r="AC43" s="177">
        <f t="shared" si="92"/>
        <v>696250.36670447141</v>
      </c>
      <c r="AD43" s="177">
        <f t="shared" si="92"/>
        <v>5264256.3517929148</v>
      </c>
      <c r="AE43" s="177">
        <f t="shared" si="92"/>
        <v>9841561.065694917</v>
      </c>
      <c r="AF43" s="177">
        <f t="shared" si="92"/>
        <v>14428164.50841048</v>
      </c>
      <c r="AG43" s="177">
        <f t="shared" si="92"/>
        <v>19024066.679939602</v>
      </c>
      <c r="AH43" s="177">
        <f t="shared" si="92"/>
        <v>23629267.580282282</v>
      </c>
      <c r="AI43" s="177">
        <f t="shared" si="92"/>
        <v>28243767.209438521</v>
      </c>
      <c r="AJ43" s="343">
        <f t="shared" si="92"/>
        <v>32867565.567408323</v>
      </c>
      <c r="AK43" s="154"/>
      <c r="AL43" s="185">
        <f>AJ43+AL42</f>
        <v>33268121.50229276</v>
      </c>
      <c r="AM43" s="177">
        <f>AL43+AM42</f>
        <v>35450397.317889675</v>
      </c>
      <c r="AN43" s="177">
        <f>AM43+AN42</f>
        <v>41335716.754504777</v>
      </c>
      <c r="AO43" s="177">
        <f>AN43+AO42</f>
        <v>47958302.422758296</v>
      </c>
      <c r="AP43" s="177">
        <f>AO43+AP42</f>
        <v>54593152.966718033</v>
      </c>
      <c r="AQ43" s="177">
        <f t="shared" ref="AQ43:AW43" si="93">AP43+AQ42</f>
        <v>61240268.386383981</v>
      </c>
      <c r="AR43" s="177">
        <f t="shared" si="93"/>
        <v>67899648.681756139</v>
      </c>
      <c r="AS43" s="177">
        <f t="shared" si="93"/>
        <v>74571293.852834523</v>
      </c>
      <c r="AT43" s="177">
        <f t="shared" si="93"/>
        <v>81255203.899619117</v>
      </c>
      <c r="AU43" s="177">
        <f t="shared" si="93"/>
        <v>87951378.822109923</v>
      </c>
      <c r="AV43" s="177">
        <f t="shared" si="93"/>
        <v>94659818.620306939</v>
      </c>
      <c r="AW43" s="177">
        <f t="shared" si="93"/>
        <v>101306934.03997289</v>
      </c>
      <c r="AX43" s="220"/>
      <c r="AY43" s="185">
        <f>AW43+AY42</f>
        <v>103786165.18280268</v>
      </c>
      <c r="AZ43" s="177">
        <f>AY43+AZ42</f>
        <v>108013789.74371156</v>
      </c>
      <c r="BA43" s="177">
        <f>AZ43+BA42</f>
        <v>116978293.14642836</v>
      </c>
      <c r="BB43" s="177">
        <f>BA43+BB42</f>
        <v>126274947.57174402</v>
      </c>
      <c r="BC43" s="177">
        <f>BB43+BC42</f>
        <v>135269913.01965857</v>
      </c>
      <c r="BD43" s="177">
        <f t="shared" ref="BD43:BJ43" si="94">BC43+BD42</f>
        <v>144280109.49017197</v>
      </c>
      <c r="BE43" s="177">
        <f t="shared" si="94"/>
        <v>153305536.98328424</v>
      </c>
      <c r="BF43" s="177">
        <f t="shared" si="94"/>
        <v>162361246.34645301</v>
      </c>
      <c r="BG43" s="177">
        <f t="shared" si="94"/>
        <v>171433235.27459353</v>
      </c>
      <c r="BH43" s="177">
        <f t="shared" si="94"/>
        <v>180521503.7677058</v>
      </c>
      <c r="BI43" s="177">
        <f t="shared" si="94"/>
        <v>189626051.82578981</v>
      </c>
      <c r="BJ43" s="177">
        <f t="shared" si="94"/>
        <v>198651299.14376083</v>
      </c>
      <c r="BK43" s="220"/>
    </row>
    <row r="44" spans="1:63" s="250" customFormat="1" ht="15.75" customHeight="1">
      <c r="A44" s="78" t="s">
        <v>83</v>
      </c>
      <c r="B44" s="169" t="s">
        <v>16</v>
      </c>
      <c r="C44" s="290">
        <f>((K44+X44)+AK44)+AX44</f>
        <v>0</v>
      </c>
      <c r="D44" s="313">
        <f>D42/((1+('Исходные данные'!$C$4/12))^D2)</f>
        <v>-8936722.6345454548</v>
      </c>
      <c r="E44" s="299">
        <f>E42/((1+('Исходные данные'!$C$4/12))^E2)</f>
        <v>-3567234.822531512</v>
      </c>
      <c r="F44" s="55">
        <f>F42/((1+('Исходные данные'!$C$4/12))^F2)</f>
        <v>-1510968.2451749097</v>
      </c>
      <c r="G44" s="55">
        <f>G42/((1+('Исходные данные'!$C$4/12))^G2)</f>
        <v>-691559.23934552225</v>
      </c>
      <c r="H44" s="55">
        <f>H42/((1+('Исходные данные'!$C$4/12))^H2)</f>
        <v>-288462.84596517397</v>
      </c>
      <c r="I44" s="55">
        <f>I42/((1+('Исходные данные'!$C$4/12))^I2)</f>
        <v>99148.746996894391</v>
      </c>
      <c r="J44" s="64">
        <f>J42/((1+('Исходные данные'!$C$4/12))^J2)</f>
        <v>99091.225849177514</v>
      </c>
      <c r="K44" s="154"/>
      <c r="L44" s="139">
        <f>L42/((1+('Исходные данные'!$C$4/12))^L2)</f>
        <v>-2331363.1341728647</v>
      </c>
      <c r="M44" s="55">
        <f>M42/((1+('Исходные данные'!$C$4/12))^M2)</f>
        <v>-1554091.3970485502</v>
      </c>
      <c r="N44" s="55">
        <f>N42/((1+('Исходные данные'!$C$4/12))^N2)</f>
        <v>1148606.4179632247</v>
      </c>
      <c r="O44" s="55">
        <f>O42/((1+('Исходные данные'!$C$4/12))^O2)</f>
        <v>1020934.6176286227</v>
      </c>
      <c r="P44" s="55">
        <f>P42/((1+('Исходные данные'!$C$4/12))^P2)</f>
        <v>1007070.669517668</v>
      </c>
      <c r="Q44" s="55">
        <f>Q42/((1+('Исходные данные'!$C$4/12))^Q2)</f>
        <v>993386.9060484512</v>
      </c>
      <c r="R44" s="55">
        <f>R42/((1+('Исходные данные'!$C$4/12))^R2)</f>
        <v>-2430697.7408407587</v>
      </c>
      <c r="S44" s="55">
        <f>S42/((1+('Исходные данные'!$C$4/12))^S2)</f>
        <v>65205.022297273092</v>
      </c>
      <c r="T44" s="55">
        <f>T42/((1+('Исходные данные'!$C$4/12))^T2)</f>
        <v>1332227.1119566634</v>
      </c>
      <c r="U44" s="55">
        <f>U42/((1+('Исходные данные'!$C$4/12))^U2)</f>
        <v>1971772.5624087409</v>
      </c>
      <c r="V44" s="55">
        <f>V42/((1+('Исходные данные'!$C$4/12))^V2)</f>
        <v>1944028.1413401472</v>
      </c>
      <c r="W44" s="64">
        <f>W42/((1+('Исходные данные'!$C$4/12))^W2)</f>
        <v>1916663.4694808945</v>
      </c>
      <c r="X44" s="154"/>
      <c r="Y44" s="139">
        <f>Y42/((1+('Исходные данные'!$C$4/12))^Y2)</f>
        <v>-3056192.0109865265</v>
      </c>
      <c r="Z44" s="55">
        <f>Z42/((1+('Исходные данные'!$C$4/12))^Z2)</f>
        <v>-175092.76846104546</v>
      </c>
      <c r="AA44" s="55">
        <f>AA42/((1+('Исходные данные'!$C$4/12))^AA2)</f>
        <v>2751304.5153430542</v>
      </c>
      <c r="AB44" s="55">
        <f>AB42/((1+('Исходные данные'!$C$4/12))^AB2)</f>
        <v>3162467.5325757703</v>
      </c>
      <c r="AC44" s="55">
        <f>AC42/((1+('Исходные данные'!$C$4/12))^AC2)</f>
        <v>3116981.7382973186</v>
      </c>
      <c r="AD44" s="55">
        <f>AD42/((1+('Исходные данные'!$C$4/12))^AD2)</f>
        <v>3072137.3843223848</v>
      </c>
      <c r="AE44" s="55">
        <f>AE42/((1+('Исходные данные'!$C$4/12))^AE2)</f>
        <v>3027925.6638993588</v>
      </c>
      <c r="AF44" s="55">
        <f>AF42/((1+('Исходные данные'!$C$4/12))^AF2)</f>
        <v>2984337.8866387312</v>
      </c>
      <c r="AG44" s="55">
        <f>AG42/((1+('Исходные данные'!$C$4/12))^AG2)</f>
        <v>2941365.4770647204</v>
      </c>
      <c r="AH44" s="55">
        <f>AH42/((1+('Исходные данные'!$C$4/12))^AH2)</f>
        <v>2898999.9731831001</v>
      </c>
      <c r="AI44" s="55">
        <f>AI42/((1+('Исходные данные'!$C$4/12))^AI2)</f>
        <v>2857233.025065117</v>
      </c>
      <c r="AJ44" s="336">
        <f>AJ42/((1+('Исходные данные'!$C$4/12))^AJ2)</f>
        <v>2816056.393447326</v>
      </c>
      <c r="AK44" s="154"/>
      <c r="AL44" s="139">
        <f>AL42/((1+('Исходные данные'!$C$4/12))^AL2)</f>
        <v>239953.47704406606</v>
      </c>
      <c r="AM44" s="55">
        <f>AM42/((1+('Исходные данные'!$C$4/12))^AM2)</f>
        <v>1285863.6862307864</v>
      </c>
      <c r="AN44" s="55">
        <f>AN42/((1+('Исходные данные'!$C$4/12))^AN2)</f>
        <v>3410960.9484054516</v>
      </c>
      <c r="AO44" s="55">
        <f>AO42/((1+('Исходные данные'!$C$4/12))^AO2)</f>
        <v>3775336.8544161418</v>
      </c>
      <c r="AP44" s="55">
        <f>AP42/((1+('Исходные данные'!$C$4/12))^AP2)</f>
        <v>3720323.3026992134</v>
      </c>
      <c r="AQ44" s="55">
        <f>AQ42/((1+('Исходные данные'!$C$4/12))^AQ2)</f>
        <v>3666098.871233576</v>
      </c>
      <c r="AR44" s="55">
        <f>AR42/((1+('Исходные данные'!$C$4/12))^AR2)</f>
        <v>3612652.4718389139</v>
      </c>
      <c r="AS44" s="55">
        <f>AS42/((1+('Исходные данные'!$C$4/12))^AS2)</f>
        <v>3559973.1678097239</v>
      </c>
      <c r="AT44" s="55">
        <f>AT42/((1+('Исходные данные'!$C$4/12))^AT2)</f>
        <v>3508050.1719288076</v>
      </c>
      <c r="AU44" s="55">
        <f>AU42/((1+('Исходные данные'!$C$4/12))^AU2)</f>
        <v>3456872.8445052034</v>
      </c>
      <c r="AV44" s="55">
        <f>AV42/((1+('Исходные данные'!$C$4/12))^AV2)</f>
        <v>3406430.6914362749</v>
      </c>
      <c r="AW44" s="336">
        <f>AW42/((1+('Исходные данные'!$C$4/12))^AW2)</f>
        <v>3319958.58061451</v>
      </c>
      <c r="AX44" s="89"/>
      <c r="AY44" s="139">
        <f>AY42/((1+('Исходные данные'!$C$4/12))^AY2)</f>
        <v>1217973.6133724956</v>
      </c>
      <c r="AZ44" s="55">
        <f>AZ42/((1+('Исходные данные'!$C$4/12))^AZ2)</f>
        <v>2042860.3945368668</v>
      </c>
      <c r="BA44" s="55">
        <f>BA42/((1+('Исходные данные'!$C$4/12))^BA2)</f>
        <v>4260788.0218348792</v>
      </c>
      <c r="BB44" s="55">
        <f>BB42/((1+('Исходные данные'!$C$4/12))^BB2)</f>
        <v>4346220.8894736972</v>
      </c>
      <c r="BC44" s="55">
        <f>BC42/((1+('Исходные данные'!$C$4/12))^BC2)</f>
        <v>4136242.778857924</v>
      </c>
      <c r="BD44" s="55">
        <f>BD42/((1+('Исходные данные'!$C$4/12))^BD2)</f>
        <v>4075324.533126398</v>
      </c>
      <c r="BE44" s="55">
        <f>BE42/((1+('Исходные данные'!$C$4/12))^BE2)</f>
        <v>4015292.0125226309</v>
      </c>
      <c r="BF44" s="55">
        <f>BF42/((1+('Исходные данные'!$C$4/12))^BF2)</f>
        <v>3962718.6999455453</v>
      </c>
      <c r="BG44" s="55">
        <f>BG42/((1+('Исходные данные'!$C$4/12))^BG2)</f>
        <v>3904763.1444811369</v>
      </c>
      <c r="BH44" s="55">
        <f>BH42/((1+('Исходные данные'!$C$4/12))^BH2)</f>
        <v>3847642.8104805029</v>
      </c>
      <c r="BI44" s="55">
        <f>BI42/((1+('Исходные данные'!$C$4/12))^BI2)</f>
        <v>3791345.8888968537</v>
      </c>
      <c r="BJ44" s="336">
        <f>BJ42/((1+('Исходные данные'!$C$4/12))^BJ2)</f>
        <v>3696711.3575564628</v>
      </c>
      <c r="BK44" s="89"/>
    </row>
    <row r="45" spans="1:63" s="250" customFormat="1" ht="18" customHeight="1" thickBot="1">
      <c r="A45" s="265" t="s">
        <v>84</v>
      </c>
      <c r="B45" s="266" t="s">
        <v>16</v>
      </c>
      <c r="C45" s="294">
        <f>BJ45</f>
        <v>96944918.8555004</v>
      </c>
      <c r="D45" s="321">
        <f>D44</f>
        <v>-8936722.6345454548</v>
      </c>
      <c r="E45" s="307">
        <f t="shared" ref="E45:J45" si="95">D45+E44</f>
        <v>-12503957.457076967</v>
      </c>
      <c r="F45" s="269">
        <f t="shared" si="95"/>
        <v>-14014925.702251876</v>
      </c>
      <c r="G45" s="269">
        <f t="shared" si="95"/>
        <v>-14706484.941597398</v>
      </c>
      <c r="H45" s="269">
        <f t="shared" si="95"/>
        <v>-14994947.787562571</v>
      </c>
      <c r="I45" s="269">
        <f t="shared" si="95"/>
        <v>-14895799.040565677</v>
      </c>
      <c r="J45" s="267">
        <f t="shared" si="95"/>
        <v>-14796707.814716499</v>
      </c>
      <c r="K45" s="270"/>
      <c r="L45" s="268">
        <f>J45+L44</f>
        <v>-17128070.948889364</v>
      </c>
      <c r="M45" s="269">
        <f t="shared" ref="M45:W45" si="96">L45+M44</f>
        <v>-18682162.345937915</v>
      </c>
      <c r="N45" s="269">
        <f t="shared" si="96"/>
        <v>-17533555.92797469</v>
      </c>
      <c r="O45" s="269">
        <f t="shared" si="96"/>
        <v>-16512621.310346067</v>
      </c>
      <c r="P45" s="269">
        <f t="shared" si="96"/>
        <v>-15505550.640828399</v>
      </c>
      <c r="Q45" s="269">
        <f t="shared" si="96"/>
        <v>-14512163.734779948</v>
      </c>
      <c r="R45" s="269">
        <f t="shared" si="96"/>
        <v>-16942861.475620706</v>
      </c>
      <c r="S45" s="269">
        <f t="shared" si="96"/>
        <v>-16877656.453323431</v>
      </c>
      <c r="T45" s="269">
        <f t="shared" si="96"/>
        <v>-15545429.341366768</v>
      </c>
      <c r="U45" s="269">
        <f t="shared" si="96"/>
        <v>-13573656.778958026</v>
      </c>
      <c r="V45" s="269">
        <f t="shared" si="96"/>
        <v>-11629628.637617879</v>
      </c>
      <c r="W45" s="267">
        <f t="shared" si="96"/>
        <v>-9712965.1681369841</v>
      </c>
      <c r="X45" s="270"/>
      <c r="Y45" s="268">
        <f>W45+Y44</f>
        <v>-12769157.17912351</v>
      </c>
      <c r="Z45" s="269">
        <f t="shared" ref="Z45:AJ45" si="97">Y45+Z44</f>
        <v>-12944249.947584555</v>
      </c>
      <c r="AA45" s="269">
        <f t="shared" si="97"/>
        <v>-10192945.432241499</v>
      </c>
      <c r="AB45" s="269">
        <f t="shared" si="97"/>
        <v>-7030477.8996657291</v>
      </c>
      <c r="AC45" s="269">
        <f t="shared" si="97"/>
        <v>-3913496.1613684106</v>
      </c>
      <c r="AD45" s="269">
        <f t="shared" si="97"/>
        <v>-841358.77704602573</v>
      </c>
      <c r="AE45" s="269">
        <f t="shared" si="97"/>
        <v>2186566.8868533331</v>
      </c>
      <c r="AF45" s="269">
        <f t="shared" si="97"/>
        <v>5170904.7734920643</v>
      </c>
      <c r="AG45" s="269">
        <f t="shared" si="97"/>
        <v>8112270.2505567847</v>
      </c>
      <c r="AH45" s="269">
        <f t="shared" si="97"/>
        <v>11011270.223739885</v>
      </c>
      <c r="AI45" s="269">
        <f t="shared" si="97"/>
        <v>13868503.248805001</v>
      </c>
      <c r="AJ45" s="344">
        <f t="shared" si="97"/>
        <v>16684559.642252328</v>
      </c>
      <c r="AK45" s="270"/>
      <c r="AL45" s="268">
        <f>AJ45+AL44</f>
        <v>16924513.119296394</v>
      </c>
      <c r="AM45" s="269">
        <f>AL45+AM44</f>
        <v>18210376.80552718</v>
      </c>
      <c r="AN45" s="269">
        <f>AM45+AN44</f>
        <v>21621337.753932633</v>
      </c>
      <c r="AO45" s="269">
        <f>AN45+AO44</f>
        <v>25396674.608348776</v>
      </c>
      <c r="AP45" s="269">
        <f>AO45+AP44</f>
        <v>29116997.911047988</v>
      </c>
      <c r="AQ45" s="269">
        <f t="shared" ref="AQ45:AW45" si="98">AP45+AQ44</f>
        <v>32783096.782281563</v>
      </c>
      <c r="AR45" s="269">
        <f t="shared" si="98"/>
        <v>36395749.254120477</v>
      </c>
      <c r="AS45" s="269">
        <f t="shared" si="98"/>
        <v>39955722.421930201</v>
      </c>
      <c r="AT45" s="269">
        <f t="shared" si="98"/>
        <v>43463772.593859009</v>
      </c>
      <c r="AU45" s="269">
        <f t="shared" si="98"/>
        <v>46920645.438364215</v>
      </c>
      <c r="AV45" s="269">
        <f t="shared" si="98"/>
        <v>50327076.129800491</v>
      </c>
      <c r="AW45" s="269">
        <f t="shared" si="98"/>
        <v>53647034.710414998</v>
      </c>
      <c r="AX45" s="271"/>
      <c r="AY45" s="268">
        <f>AW45+AY44</f>
        <v>54865008.323787495</v>
      </c>
      <c r="AZ45" s="269">
        <f>AY45+AZ44</f>
        <v>56907868.718324363</v>
      </c>
      <c r="BA45" s="269">
        <f>AZ45+BA44</f>
        <v>61168656.740159243</v>
      </c>
      <c r="BB45" s="269">
        <f>BA45+BB44</f>
        <v>65514877.629632942</v>
      </c>
      <c r="BC45" s="269">
        <f>BB45+BC44</f>
        <v>69651120.408490866</v>
      </c>
      <c r="BD45" s="269">
        <f t="shared" ref="BD45:BJ45" si="99">BC45+BD44</f>
        <v>73726444.941617265</v>
      </c>
      <c r="BE45" s="269">
        <f t="shared" si="99"/>
        <v>77741736.954139903</v>
      </c>
      <c r="BF45" s="269">
        <f t="shared" si="99"/>
        <v>81704455.654085442</v>
      </c>
      <c r="BG45" s="269">
        <f t="shared" si="99"/>
        <v>85609218.79856658</v>
      </c>
      <c r="BH45" s="269">
        <f t="shared" si="99"/>
        <v>89456861.609047085</v>
      </c>
      <c r="BI45" s="269">
        <f t="shared" si="99"/>
        <v>93248207.497943938</v>
      </c>
      <c r="BJ45" s="269">
        <f t="shared" si="99"/>
        <v>96944918.8555004</v>
      </c>
      <c r="BK45" s="271"/>
    </row>
    <row r="46" spans="1:63" s="250" customFormat="1" ht="19.5" customHeight="1" thickBot="1">
      <c r="A46" s="275" t="s">
        <v>226</v>
      </c>
      <c r="B46" s="277" t="s">
        <v>16</v>
      </c>
      <c r="C46" s="295">
        <f>((K46+X46)+AK46)+AX46+BK46</f>
        <v>28614296.968094505</v>
      </c>
      <c r="D46" s="322">
        <f>IF((D39&lt;0),(-1*D39),0)</f>
        <v>8936722.6345454548</v>
      </c>
      <c r="E46" s="308">
        <f t="shared" ref="E46:J46" si="100">IF((E39&lt;0),(-1*E39),0)</f>
        <v>3695332.8040369805</v>
      </c>
      <c r="F46" s="276">
        <f t="shared" si="100"/>
        <v>1654338.3125115559</v>
      </c>
      <c r="G46" s="276">
        <f t="shared" si="100"/>
        <v>819301.44810477644</v>
      </c>
      <c r="H46" s="276">
        <f t="shared" si="100"/>
        <v>400764.58369799657</v>
      </c>
      <c r="I46" s="276">
        <f t="shared" si="100"/>
        <v>0</v>
      </c>
      <c r="J46" s="276">
        <f t="shared" si="100"/>
        <v>0</v>
      </c>
      <c r="K46" s="278">
        <f>SUM(D46:J46)</f>
        <v>15506459.782896765</v>
      </c>
      <c r="L46" s="322">
        <f t="shared" ref="L46:W46" si="101">IF((L39&lt;0),(-1*L39),0)</f>
        <v>2709923.9904776588</v>
      </c>
      <c r="M46" s="276">
        <f t="shared" si="101"/>
        <v>1866387.1260708775</v>
      </c>
      <c r="N46" s="276">
        <f t="shared" si="101"/>
        <v>0</v>
      </c>
      <c r="O46" s="276">
        <f t="shared" si="101"/>
        <v>0</v>
      </c>
      <c r="P46" s="276">
        <f t="shared" si="101"/>
        <v>0</v>
      </c>
      <c r="Q46" s="276">
        <f t="shared" si="101"/>
        <v>0</v>
      </c>
      <c r="R46" s="276">
        <f t="shared" si="101"/>
        <v>3197622.0869645625</v>
      </c>
      <c r="S46" s="276">
        <f t="shared" si="101"/>
        <v>102068.55589111429</v>
      </c>
      <c r="T46" s="276">
        <f t="shared" si="101"/>
        <v>0</v>
      </c>
      <c r="U46" s="276">
        <f t="shared" si="101"/>
        <v>0</v>
      </c>
      <c r="V46" s="276">
        <f t="shared" si="101"/>
        <v>0</v>
      </c>
      <c r="W46" s="276">
        <f t="shared" si="101"/>
        <v>0</v>
      </c>
      <c r="X46" s="278">
        <f>SUM(L46:W46)</f>
        <v>7876001.7594042132</v>
      </c>
      <c r="Y46" s="276">
        <f t="shared" ref="Y46:AJ46" si="102">IF((Y39&lt;0),(-1*Y39),0)</f>
        <v>4508191.6549152546</v>
      </c>
      <c r="Z46" s="276">
        <f t="shared" si="102"/>
        <v>568055.63796610013</v>
      </c>
      <c r="AA46" s="276">
        <f t="shared" si="102"/>
        <v>0</v>
      </c>
      <c r="AB46" s="276">
        <f t="shared" si="102"/>
        <v>0</v>
      </c>
      <c r="AC46" s="276">
        <f t="shared" si="102"/>
        <v>0</v>
      </c>
      <c r="AD46" s="276">
        <f t="shared" si="102"/>
        <v>0</v>
      </c>
      <c r="AE46" s="276">
        <f t="shared" si="102"/>
        <v>0</v>
      </c>
      <c r="AF46" s="276">
        <f t="shared" si="102"/>
        <v>0</v>
      </c>
      <c r="AG46" s="276">
        <f t="shared" si="102"/>
        <v>0</v>
      </c>
      <c r="AH46" s="276">
        <f t="shared" si="102"/>
        <v>0</v>
      </c>
      <c r="AI46" s="276">
        <f t="shared" si="102"/>
        <v>0</v>
      </c>
      <c r="AJ46" s="345">
        <f t="shared" si="102"/>
        <v>0</v>
      </c>
      <c r="AK46" s="278">
        <f>SUM(Y46:AJ46)</f>
        <v>5076247.2928813547</v>
      </c>
      <c r="AL46" s="276">
        <f t="shared" ref="AL46:AW46" si="103">IF((AL39&lt;0),(-1*AL39),0)</f>
        <v>155588.13291217387</v>
      </c>
      <c r="AM46" s="276">
        <f t="shared" si="103"/>
        <v>0</v>
      </c>
      <c r="AN46" s="276">
        <f t="shared" si="103"/>
        <v>0</v>
      </c>
      <c r="AO46" s="276">
        <f t="shared" si="103"/>
        <v>0</v>
      </c>
      <c r="AP46" s="276">
        <f t="shared" si="103"/>
        <v>0</v>
      </c>
      <c r="AQ46" s="276">
        <f t="shared" si="103"/>
        <v>0</v>
      </c>
      <c r="AR46" s="276">
        <f t="shared" si="103"/>
        <v>0</v>
      </c>
      <c r="AS46" s="276">
        <f t="shared" si="103"/>
        <v>0</v>
      </c>
      <c r="AT46" s="276">
        <f t="shared" si="103"/>
        <v>0</v>
      </c>
      <c r="AU46" s="276">
        <f t="shared" si="103"/>
        <v>0</v>
      </c>
      <c r="AV46" s="276">
        <f t="shared" si="103"/>
        <v>0</v>
      </c>
      <c r="AW46" s="345">
        <f t="shared" si="103"/>
        <v>0</v>
      </c>
      <c r="AX46" s="279">
        <f>SUM(AL46:AW46)</f>
        <v>155588.13291217387</v>
      </c>
      <c r="AY46" s="276">
        <f t="shared" ref="AY46:BJ46" si="104">IF((AY39&lt;0),(-1*AY39),0)</f>
        <v>0</v>
      </c>
      <c r="AZ46" s="276">
        <f t="shared" si="104"/>
        <v>0</v>
      </c>
      <c r="BA46" s="276">
        <f t="shared" si="104"/>
        <v>0</v>
      </c>
      <c r="BB46" s="276">
        <f t="shared" si="104"/>
        <v>0</v>
      </c>
      <c r="BC46" s="276">
        <f t="shared" si="104"/>
        <v>0</v>
      </c>
      <c r="BD46" s="276">
        <f t="shared" si="104"/>
        <v>0</v>
      </c>
      <c r="BE46" s="276">
        <f t="shared" si="104"/>
        <v>0</v>
      </c>
      <c r="BF46" s="276">
        <f t="shared" si="104"/>
        <v>0</v>
      </c>
      <c r="BG46" s="276">
        <f t="shared" si="104"/>
        <v>0</v>
      </c>
      <c r="BH46" s="276">
        <f t="shared" si="104"/>
        <v>0</v>
      </c>
      <c r="BI46" s="276">
        <f t="shared" si="104"/>
        <v>0</v>
      </c>
      <c r="BJ46" s="345">
        <f t="shared" si="104"/>
        <v>0</v>
      </c>
      <c r="BK46" s="279">
        <f>SUM(AY46:BJ46)</f>
        <v>0</v>
      </c>
    </row>
    <row r="47" spans="1:63" s="250" customFormat="1" ht="17.25" customHeight="1">
      <c r="A47" s="207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61"/>
      <c r="M47" s="161"/>
      <c r="N47" s="161"/>
      <c r="O47" s="106"/>
      <c r="P47" s="106"/>
      <c r="Q47" s="106"/>
      <c r="R47" s="106"/>
      <c r="S47" s="106"/>
      <c r="T47" s="73"/>
      <c r="U47" s="161"/>
      <c r="V47" s="161"/>
      <c r="W47" s="161"/>
      <c r="X47" s="161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</row>
    <row r="48" spans="1:63" s="250" customFormat="1" ht="15" customHeight="1">
      <c r="A48" s="457"/>
      <c r="B48" s="457"/>
      <c r="C48" s="457"/>
      <c r="D48" s="407"/>
      <c r="E48" s="407"/>
      <c r="F48" s="407"/>
      <c r="G48" s="407"/>
      <c r="H48" s="407"/>
      <c r="J48" s="161"/>
      <c r="K48" s="161"/>
      <c r="L48" s="161"/>
      <c r="M48" s="161"/>
      <c r="N48" s="161"/>
      <c r="O48" s="106"/>
      <c r="P48" s="106"/>
      <c r="Q48" s="106"/>
      <c r="R48" s="106"/>
      <c r="S48" s="106"/>
      <c r="T48" s="161"/>
      <c r="U48" s="161"/>
      <c r="V48" s="161"/>
      <c r="W48" s="161"/>
      <c r="X48" s="161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ht="13.2">
      <c r="A49" s="175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06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06"/>
    </row>
    <row r="50" spans="1:63" ht="13.2">
      <c r="A50" s="198"/>
      <c r="B50" s="106"/>
      <c r="C50" s="161"/>
      <c r="D50" s="106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06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06"/>
    </row>
    <row r="51" spans="1:63" ht="13.2">
      <c r="A51" s="198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</row>
    <row r="52" spans="1:63" s="250" customFormat="1" ht="15" customHeight="1">
      <c r="A52" s="207"/>
      <c r="B52" s="442"/>
      <c r="C52" s="442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06"/>
      <c r="P52" s="106"/>
      <c r="Q52" s="106"/>
      <c r="R52" s="106"/>
      <c r="S52" s="106"/>
      <c r="T52" s="161"/>
      <c r="U52" s="161"/>
      <c r="V52" s="161"/>
      <c r="W52" s="161"/>
      <c r="X52" s="161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</row>
    <row r="53" spans="1:63" ht="13.2">
      <c r="A53" s="175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</row>
    <row r="54" spans="1:63" ht="13.2">
      <c r="A54" s="198"/>
      <c r="B54" s="106"/>
      <c r="C54" s="161"/>
      <c r="D54" s="106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</row>
    <row r="55" spans="1:63" ht="13.2">
      <c r="A55" s="198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</row>
    <row r="56" spans="1:63" ht="13.2">
      <c r="A56" s="198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</row>
    <row r="57" spans="1:63" ht="13.2">
      <c r="A57" s="198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</row>
    <row r="58" spans="1:63" ht="13.2">
      <c r="A58" s="198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</row>
    <row r="59" spans="1:63" ht="13.2">
      <c r="A59" s="198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</row>
    <row r="60" spans="1:63" ht="13.2">
      <c r="A60" s="198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</row>
    <row r="61" spans="1:63" ht="13.2">
      <c r="A61" s="198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</row>
    <row r="62" spans="1:63" ht="13.2">
      <c r="A62" s="198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</row>
    <row r="63" spans="1:63" ht="13.2">
      <c r="A63" s="19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</row>
    <row r="64" spans="1:63" ht="13.2">
      <c r="A64" s="19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</row>
    <row r="65" spans="1:63" ht="13.2">
      <c r="A65" s="198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</row>
    <row r="66" spans="1:63" ht="13.2">
      <c r="A66" s="198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</row>
    <row r="67" spans="1:63" ht="13.2">
      <c r="A67" s="198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</row>
    <row r="68" spans="1:63" ht="13.2">
      <c r="A68" s="198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</row>
    <row r="69" spans="1:63" ht="13.2">
      <c r="A69" s="198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</row>
    <row r="70" spans="1:63" ht="13.2">
      <c r="A70" s="198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</row>
    <row r="71" spans="1:63" ht="13.2">
      <c r="A71" s="198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</row>
    <row r="72" spans="1:63" ht="13.2">
      <c r="A72" s="198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</row>
    <row r="73" spans="1:63" ht="13.2">
      <c r="A73" s="198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</row>
    <row r="74" spans="1:63" ht="13.2">
      <c r="A74" s="198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</row>
    <row r="75" spans="1:63" ht="13.2">
      <c r="A75" s="19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</row>
    <row r="76" spans="1:63" ht="13.2">
      <c r="A76" s="198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</row>
    <row r="77" spans="1:63" ht="13.2">
      <c r="A77" s="198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O77" s="106"/>
      <c r="P77" s="106"/>
      <c r="Q77" s="106"/>
      <c r="R77" s="106"/>
      <c r="S77" s="106"/>
      <c r="T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</row>
  </sheetData>
  <mergeCells count="8">
    <mergeCell ref="A48:C48"/>
    <mergeCell ref="B52:C52"/>
    <mergeCell ref="A1:M1"/>
    <mergeCell ref="A2:A4"/>
    <mergeCell ref="B2:B4"/>
    <mergeCell ref="C2:C4"/>
    <mergeCell ref="A12:C12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A44" sqref="A44:E59"/>
    </sheetView>
  </sheetViews>
  <sheetFormatPr defaultColWidth="8.6640625" defaultRowHeight="12.75" customHeight="1"/>
  <cols>
    <col min="1" max="1" width="5.33203125" customWidth="1"/>
    <col min="2" max="2" width="31" customWidth="1"/>
    <col min="3" max="3" width="8.33203125" customWidth="1"/>
    <col min="4" max="4" width="12.109375" customWidth="1"/>
    <col min="5" max="5" width="10.6640625" customWidth="1"/>
  </cols>
  <sheetData>
    <row r="1" spans="1:6" s="376" customFormat="1" ht="21.75" customHeight="1" thickBot="1">
      <c r="A1" s="460" t="s">
        <v>85</v>
      </c>
      <c r="B1" s="460"/>
      <c r="C1" s="460"/>
      <c r="D1" s="460"/>
      <c r="E1" s="460"/>
      <c r="F1" s="375"/>
    </row>
    <row r="2" spans="1:6" s="376" customFormat="1" ht="17.25" customHeight="1">
      <c r="A2" s="377"/>
      <c r="B2" s="377"/>
      <c r="C2" s="377"/>
      <c r="D2" s="377"/>
      <c r="E2" s="377"/>
      <c r="F2" s="375"/>
    </row>
    <row r="3" spans="1:6" ht="19.5" customHeight="1" thickBot="1">
      <c r="A3" s="464" t="s">
        <v>229</v>
      </c>
      <c r="B3" s="464"/>
      <c r="C3" s="464"/>
      <c r="D3" s="464"/>
      <c r="E3" s="464"/>
      <c r="F3" s="106"/>
    </row>
    <row r="4" spans="1:6" ht="30" customHeight="1" thickBot="1">
      <c r="A4" s="223"/>
      <c r="B4" s="140" t="s">
        <v>86</v>
      </c>
      <c r="C4" s="217" t="s">
        <v>87</v>
      </c>
      <c r="D4" s="431" t="s">
        <v>261</v>
      </c>
      <c r="E4" s="432" t="s">
        <v>262</v>
      </c>
      <c r="F4" s="215"/>
    </row>
    <row r="5" spans="1:6" ht="13.2">
      <c r="A5" s="60">
        <v>1</v>
      </c>
      <c r="B5" s="135" t="s">
        <v>88</v>
      </c>
      <c r="C5" s="135">
        <v>1</v>
      </c>
      <c r="D5" s="192">
        <v>120000</v>
      </c>
      <c r="E5" s="7">
        <f t="shared" ref="E5:E10" si="0">C5*D5</f>
        <v>120000</v>
      </c>
      <c r="F5" s="215"/>
    </row>
    <row r="6" spans="1:6" s="106" customFormat="1" ht="13.2">
      <c r="A6" s="248">
        <v>2</v>
      </c>
      <c r="B6" s="243" t="s">
        <v>89</v>
      </c>
      <c r="C6" s="243">
        <v>1</v>
      </c>
      <c r="D6" s="56">
        <v>60000</v>
      </c>
      <c r="E6" s="62">
        <f t="shared" si="0"/>
        <v>60000</v>
      </c>
      <c r="F6" s="215"/>
    </row>
    <row r="7" spans="1:6" s="106" customFormat="1" ht="13.2">
      <c r="A7" s="248">
        <v>3</v>
      </c>
      <c r="B7" s="243" t="s">
        <v>90</v>
      </c>
      <c r="C7" s="243">
        <v>1</v>
      </c>
      <c r="D7" s="234">
        <v>55000</v>
      </c>
      <c r="E7" s="62">
        <f t="shared" si="0"/>
        <v>55000</v>
      </c>
      <c r="F7" s="215"/>
    </row>
    <row r="8" spans="1:6" ht="13.2">
      <c r="A8" s="248">
        <v>4</v>
      </c>
      <c r="B8" s="378" t="s">
        <v>231</v>
      </c>
      <c r="C8" s="243">
        <v>1</v>
      </c>
      <c r="D8" s="234">
        <v>60000</v>
      </c>
      <c r="E8" s="62">
        <f t="shared" si="0"/>
        <v>60000</v>
      </c>
      <c r="F8" s="215"/>
    </row>
    <row r="9" spans="1:6" ht="13.2">
      <c r="A9" s="248">
        <v>5</v>
      </c>
      <c r="B9" s="378" t="s">
        <v>95</v>
      </c>
      <c r="C9" s="392">
        <v>1</v>
      </c>
      <c r="D9" s="234">
        <v>45000</v>
      </c>
      <c r="E9" s="62">
        <v>45000</v>
      </c>
      <c r="F9" s="215"/>
    </row>
    <row r="10" spans="1:6" ht="13.8" thickBot="1">
      <c r="A10" s="248">
        <v>6</v>
      </c>
      <c r="B10" s="378" t="s">
        <v>232</v>
      </c>
      <c r="C10" s="243">
        <v>1</v>
      </c>
      <c r="D10" s="234">
        <v>50000</v>
      </c>
      <c r="E10" s="62">
        <f t="shared" si="0"/>
        <v>50000</v>
      </c>
      <c r="F10" s="215"/>
    </row>
    <row r="11" spans="1:6" ht="13.5" customHeight="1" thickBot="1">
      <c r="A11" s="461" t="s">
        <v>44</v>
      </c>
      <c r="B11" s="462"/>
      <c r="C11" s="17">
        <f>SUM(C5:C10)</f>
        <v>6</v>
      </c>
      <c r="D11" s="104"/>
      <c r="E11" s="249">
        <f>SUM(E5:E10)</f>
        <v>390000</v>
      </c>
      <c r="F11" s="215"/>
    </row>
    <row r="12" spans="1:6" ht="13.5" customHeight="1">
      <c r="A12" s="369"/>
      <c r="B12" s="370"/>
      <c r="C12" s="371"/>
      <c r="D12" s="372"/>
      <c r="E12" s="373"/>
      <c r="F12" s="374"/>
    </row>
    <row r="13" spans="1:6" ht="18.75" customHeight="1" thickBot="1">
      <c r="A13" s="464" t="s">
        <v>230</v>
      </c>
      <c r="B13" s="464"/>
      <c r="C13" s="464"/>
      <c r="D13" s="464"/>
      <c r="E13" s="464"/>
      <c r="F13" s="106"/>
    </row>
    <row r="14" spans="1:6" ht="30" customHeight="1" thickBot="1">
      <c r="A14" s="223"/>
      <c r="B14" s="140" t="s">
        <v>86</v>
      </c>
      <c r="C14" s="217" t="s">
        <v>87</v>
      </c>
      <c r="D14" s="431" t="s">
        <v>261</v>
      </c>
      <c r="E14" s="432" t="s">
        <v>262</v>
      </c>
      <c r="F14" s="215"/>
    </row>
    <row r="15" spans="1:6" ht="13.2">
      <c r="A15" s="60">
        <v>1</v>
      </c>
      <c r="B15" s="135" t="s">
        <v>88</v>
      </c>
      <c r="C15" s="135">
        <v>1</v>
      </c>
      <c r="D15" s="192">
        <v>120000</v>
      </c>
      <c r="E15" s="7">
        <f t="shared" ref="E15:E23" si="1">C15*D15</f>
        <v>120000</v>
      </c>
      <c r="F15" s="215"/>
    </row>
    <row r="16" spans="1:6" s="106" customFormat="1" ht="13.2">
      <c r="A16" s="248">
        <v>2</v>
      </c>
      <c r="B16" s="378" t="s">
        <v>100</v>
      </c>
      <c r="C16" s="360">
        <v>1</v>
      </c>
      <c r="D16" s="234">
        <v>35000</v>
      </c>
      <c r="E16" s="62">
        <f t="shared" si="1"/>
        <v>35000</v>
      </c>
      <c r="F16" s="215"/>
    </row>
    <row r="17" spans="1:6" ht="13.2">
      <c r="A17" s="248">
        <v>3</v>
      </c>
      <c r="B17" s="360" t="s">
        <v>91</v>
      </c>
      <c r="C17" s="360">
        <v>1</v>
      </c>
      <c r="D17" s="234">
        <v>70000</v>
      </c>
      <c r="E17" s="62">
        <f t="shared" si="1"/>
        <v>70000</v>
      </c>
      <c r="F17" s="215"/>
    </row>
    <row r="18" spans="1:6" ht="13.2">
      <c r="A18" s="248">
        <v>4</v>
      </c>
      <c r="B18" s="360" t="s">
        <v>92</v>
      </c>
      <c r="C18" s="360">
        <v>1</v>
      </c>
      <c r="D18" s="234">
        <v>60000</v>
      </c>
      <c r="E18" s="62">
        <f t="shared" si="1"/>
        <v>60000</v>
      </c>
      <c r="F18" s="215"/>
    </row>
    <row r="19" spans="1:6" ht="13.2">
      <c r="A19" s="248">
        <v>5</v>
      </c>
      <c r="B19" s="360" t="s">
        <v>93</v>
      </c>
      <c r="C19" s="360">
        <v>1</v>
      </c>
      <c r="D19" s="234">
        <v>45000</v>
      </c>
      <c r="E19" s="62">
        <f t="shared" si="1"/>
        <v>45000</v>
      </c>
      <c r="F19" s="215"/>
    </row>
    <row r="20" spans="1:6" s="106" customFormat="1" ht="13.2">
      <c r="A20" s="248">
        <v>6</v>
      </c>
      <c r="B20" s="360" t="s">
        <v>94</v>
      </c>
      <c r="C20" s="360">
        <v>1</v>
      </c>
      <c r="D20" s="234">
        <v>50000</v>
      </c>
      <c r="E20" s="252">
        <f t="shared" si="1"/>
        <v>50000</v>
      </c>
      <c r="F20" s="251"/>
    </row>
    <row r="21" spans="1:6" s="106" customFormat="1" ht="13.2">
      <c r="A21" s="248">
        <v>7</v>
      </c>
      <c r="B21" s="360" t="s">
        <v>95</v>
      </c>
      <c r="C21" s="360">
        <v>1</v>
      </c>
      <c r="D21" s="234">
        <v>45000</v>
      </c>
      <c r="E21" s="252">
        <f t="shared" si="1"/>
        <v>45000</v>
      </c>
      <c r="F21" s="251"/>
    </row>
    <row r="22" spans="1:6" s="106" customFormat="1" ht="13.2">
      <c r="A22" s="253">
        <v>8</v>
      </c>
      <c r="B22" s="254" t="s">
        <v>96</v>
      </c>
      <c r="C22" s="254">
        <v>1</v>
      </c>
      <c r="D22" s="255">
        <v>35000</v>
      </c>
      <c r="E22" s="256">
        <f t="shared" si="1"/>
        <v>35000</v>
      </c>
      <c r="F22" s="251"/>
    </row>
    <row r="23" spans="1:6" ht="13.5" customHeight="1" thickBot="1">
      <c r="A23" s="379">
        <v>9</v>
      </c>
      <c r="B23" s="383" t="s">
        <v>233</v>
      </c>
      <c r="C23" s="380">
        <v>1</v>
      </c>
      <c r="D23" s="381">
        <v>40000</v>
      </c>
      <c r="E23" s="382">
        <f t="shared" si="1"/>
        <v>40000</v>
      </c>
      <c r="F23" s="215"/>
    </row>
    <row r="24" spans="1:6" ht="13.8" thickBot="1">
      <c r="A24" s="465" t="s">
        <v>44</v>
      </c>
      <c r="B24" s="466"/>
      <c r="C24" s="384">
        <f>SUM(C15:C23)</f>
        <v>9</v>
      </c>
      <c r="D24" s="384"/>
      <c r="E24" s="385">
        <f>SUM(E15:E23)</f>
        <v>500000</v>
      </c>
      <c r="F24" s="106"/>
    </row>
    <row r="25" spans="1:6" ht="13.2">
      <c r="A25" s="368"/>
      <c r="B25" s="368"/>
      <c r="C25" s="368"/>
      <c r="D25" s="368"/>
      <c r="E25" s="368"/>
      <c r="F25" s="106"/>
    </row>
    <row r="26" spans="1:6" ht="13.2">
      <c r="A26" s="368"/>
      <c r="B26" s="388" t="s">
        <v>244</v>
      </c>
      <c r="C26" s="387">
        <f>C11+C24</f>
        <v>15</v>
      </c>
      <c r="D26" s="387"/>
      <c r="E26" s="386">
        <f>E11+E24</f>
        <v>890000</v>
      </c>
      <c r="F26" s="106"/>
    </row>
    <row r="27" spans="1:6" ht="13.2">
      <c r="A27" s="368"/>
      <c r="B27" s="368"/>
      <c r="C27" s="368"/>
      <c r="D27" s="368"/>
      <c r="E27" s="368"/>
      <c r="F27" s="106"/>
    </row>
    <row r="28" spans="1:6" ht="18" thickBot="1">
      <c r="A28" s="460" t="s">
        <v>98</v>
      </c>
      <c r="B28" s="460"/>
      <c r="C28" s="460"/>
      <c r="D28" s="460"/>
      <c r="E28" s="460"/>
      <c r="F28" s="106"/>
    </row>
    <row r="29" spans="1:6" ht="17.399999999999999">
      <c r="A29" s="377"/>
      <c r="B29" s="377"/>
      <c r="C29" s="377"/>
      <c r="D29" s="377"/>
      <c r="E29" s="377"/>
      <c r="F29" s="106"/>
    </row>
    <row r="30" spans="1:6" ht="22.5" customHeight="1" thickBot="1">
      <c r="A30" s="464" t="s">
        <v>229</v>
      </c>
      <c r="B30" s="464"/>
      <c r="C30" s="464"/>
      <c r="D30" s="464"/>
      <c r="E30" s="464"/>
      <c r="F30" s="106"/>
    </row>
    <row r="31" spans="1:6" ht="30" customHeight="1" thickBot="1">
      <c r="A31" s="223"/>
      <c r="B31" s="140" t="s">
        <v>86</v>
      </c>
      <c r="C31" s="217" t="s">
        <v>87</v>
      </c>
      <c r="D31" s="431" t="s">
        <v>261</v>
      </c>
      <c r="E31" s="432" t="s">
        <v>262</v>
      </c>
      <c r="F31" s="215"/>
    </row>
    <row r="32" spans="1:6" ht="13.2">
      <c r="A32" s="60">
        <v>1</v>
      </c>
      <c r="B32" s="135" t="s">
        <v>88</v>
      </c>
      <c r="C32" s="135">
        <v>1</v>
      </c>
      <c r="D32" s="192">
        <v>120000</v>
      </c>
      <c r="E32" s="7">
        <f t="shared" ref="E32:E40" si="2">C32*D32</f>
        <v>120000</v>
      </c>
      <c r="F32" s="215"/>
    </row>
    <row r="33" spans="1:6" s="106" customFormat="1" ht="13.2">
      <c r="A33" s="248">
        <v>2</v>
      </c>
      <c r="B33" s="360" t="s">
        <v>89</v>
      </c>
      <c r="C33" s="360">
        <v>1</v>
      </c>
      <c r="D33" s="361">
        <v>60000</v>
      </c>
      <c r="E33" s="62">
        <f t="shared" si="2"/>
        <v>60000</v>
      </c>
      <c r="F33" s="215"/>
    </row>
    <row r="34" spans="1:6" s="106" customFormat="1" ht="13.2">
      <c r="A34" s="248">
        <v>3</v>
      </c>
      <c r="B34" s="378" t="s">
        <v>96</v>
      </c>
      <c r="C34" s="360">
        <v>1</v>
      </c>
      <c r="D34" s="361">
        <v>35000</v>
      </c>
      <c r="E34" s="62">
        <f t="shared" si="2"/>
        <v>35000</v>
      </c>
      <c r="F34" s="215"/>
    </row>
    <row r="35" spans="1:6" s="106" customFormat="1" ht="13.2">
      <c r="A35" s="248">
        <v>4</v>
      </c>
      <c r="B35" s="360" t="s">
        <v>90</v>
      </c>
      <c r="C35" s="360">
        <v>1</v>
      </c>
      <c r="D35" s="234">
        <v>55000</v>
      </c>
      <c r="E35" s="62">
        <f t="shared" si="2"/>
        <v>55000</v>
      </c>
      <c r="F35" s="215"/>
    </row>
    <row r="36" spans="1:6" ht="13.2">
      <c r="A36" s="248">
        <v>5</v>
      </c>
      <c r="B36" s="378" t="s">
        <v>231</v>
      </c>
      <c r="C36" s="360">
        <v>1</v>
      </c>
      <c r="D36" s="234">
        <v>60000</v>
      </c>
      <c r="E36" s="62">
        <f t="shared" si="2"/>
        <v>60000</v>
      </c>
      <c r="F36" s="215"/>
    </row>
    <row r="37" spans="1:6" ht="13.2">
      <c r="A37" s="248">
        <v>6</v>
      </c>
      <c r="B37" s="378" t="s">
        <v>95</v>
      </c>
      <c r="C37" s="392">
        <v>1</v>
      </c>
      <c r="D37" s="234">
        <v>50000</v>
      </c>
      <c r="E37" s="62">
        <f t="shared" si="2"/>
        <v>50000</v>
      </c>
      <c r="F37" s="215"/>
    </row>
    <row r="38" spans="1:6" ht="13.2">
      <c r="A38" s="248">
        <v>7</v>
      </c>
      <c r="B38" s="378" t="s">
        <v>232</v>
      </c>
      <c r="C38" s="360">
        <v>2</v>
      </c>
      <c r="D38" s="234">
        <v>50000</v>
      </c>
      <c r="E38" s="62">
        <f t="shared" si="2"/>
        <v>100000</v>
      </c>
      <c r="F38" s="215"/>
    </row>
    <row r="39" spans="1:6" ht="13.2">
      <c r="A39" s="248">
        <v>8</v>
      </c>
      <c r="B39" s="378" t="s">
        <v>245</v>
      </c>
      <c r="C39" s="360">
        <v>1</v>
      </c>
      <c r="D39" s="234">
        <v>40000</v>
      </c>
      <c r="E39" s="62">
        <f t="shared" si="2"/>
        <v>40000</v>
      </c>
      <c r="F39" s="215"/>
    </row>
    <row r="40" spans="1:6" ht="13.8" thickBot="1">
      <c r="A40" s="248">
        <v>9</v>
      </c>
      <c r="B40" s="389" t="s">
        <v>234</v>
      </c>
      <c r="C40" s="360">
        <v>2</v>
      </c>
      <c r="D40" s="234">
        <v>40000</v>
      </c>
      <c r="E40" s="62">
        <f t="shared" si="2"/>
        <v>80000</v>
      </c>
      <c r="F40" s="215"/>
    </row>
    <row r="41" spans="1:6" ht="13.5" customHeight="1" thickBot="1">
      <c r="A41" s="461" t="s">
        <v>44</v>
      </c>
      <c r="B41" s="462"/>
      <c r="C41" s="17">
        <f>SUM(C32:C40)</f>
        <v>11</v>
      </c>
      <c r="D41" s="104"/>
      <c r="E41" s="249">
        <f>SUM(E32:E40)</f>
        <v>600000</v>
      </c>
      <c r="F41" s="215"/>
    </row>
    <row r="42" spans="1:6" ht="19.5" customHeight="1">
      <c r="A42" s="377"/>
      <c r="B42" s="377"/>
      <c r="C42" s="377"/>
      <c r="D42" s="377"/>
      <c r="E42" s="377"/>
      <c r="F42" s="106"/>
    </row>
    <row r="43" spans="1:6" ht="26.25" customHeight="1" thickBot="1">
      <c r="A43" s="464" t="s">
        <v>230</v>
      </c>
      <c r="B43" s="464"/>
      <c r="C43" s="464"/>
      <c r="D43" s="464"/>
      <c r="E43" s="464"/>
      <c r="F43" s="106"/>
    </row>
    <row r="44" spans="1:6" ht="27" customHeight="1" thickBot="1">
      <c r="A44" s="223"/>
      <c r="B44" s="140" t="s">
        <v>86</v>
      </c>
      <c r="C44" s="217" t="s">
        <v>87</v>
      </c>
      <c r="D44" s="431" t="s">
        <v>261</v>
      </c>
      <c r="E44" s="432" t="s">
        <v>262</v>
      </c>
      <c r="F44" s="215"/>
    </row>
    <row r="45" spans="1:6" ht="13.2">
      <c r="A45" s="60">
        <v>1</v>
      </c>
      <c r="B45" s="135" t="s">
        <v>88</v>
      </c>
      <c r="C45" s="135">
        <v>1</v>
      </c>
      <c r="D45" s="192">
        <v>150000</v>
      </c>
      <c r="E45" s="7">
        <f t="shared" ref="E45:E58" si="3">C45*D45</f>
        <v>150000</v>
      </c>
      <c r="F45" s="215"/>
    </row>
    <row r="46" spans="1:6" ht="13.2">
      <c r="A46" s="248">
        <v>2</v>
      </c>
      <c r="B46" s="360" t="s">
        <v>99</v>
      </c>
      <c r="C46" s="360">
        <v>1</v>
      </c>
      <c r="D46" s="361">
        <v>120000</v>
      </c>
      <c r="E46" s="62">
        <f t="shared" si="3"/>
        <v>120000</v>
      </c>
      <c r="F46" s="215"/>
    </row>
    <row r="47" spans="1:6" s="106" customFormat="1" ht="13.2">
      <c r="A47" s="248">
        <v>3</v>
      </c>
      <c r="B47" s="243" t="s">
        <v>96</v>
      </c>
      <c r="C47" s="243">
        <v>1</v>
      </c>
      <c r="D47" s="56">
        <v>35000</v>
      </c>
      <c r="E47" s="62">
        <f t="shared" si="3"/>
        <v>35000</v>
      </c>
      <c r="F47" s="215"/>
    </row>
    <row r="48" spans="1:6" s="106" customFormat="1" ht="13.2">
      <c r="A48" s="248">
        <v>4</v>
      </c>
      <c r="B48" s="243" t="s">
        <v>100</v>
      </c>
      <c r="C48" s="243">
        <v>1</v>
      </c>
      <c r="D48" s="56">
        <v>40000</v>
      </c>
      <c r="E48" s="62">
        <f t="shared" si="3"/>
        <v>40000</v>
      </c>
      <c r="F48" s="215"/>
    </row>
    <row r="49" spans="1:6" s="106" customFormat="1" ht="13.2">
      <c r="A49" s="248">
        <v>5</v>
      </c>
      <c r="B49" s="243" t="s">
        <v>91</v>
      </c>
      <c r="C49" s="243">
        <v>1</v>
      </c>
      <c r="D49" s="56">
        <v>80000</v>
      </c>
      <c r="E49" s="62">
        <f t="shared" si="3"/>
        <v>80000</v>
      </c>
      <c r="F49" s="215"/>
    </row>
    <row r="50" spans="1:6" ht="13.2">
      <c r="A50" s="248">
        <v>6</v>
      </c>
      <c r="B50" s="243" t="s">
        <v>92</v>
      </c>
      <c r="C50" s="243">
        <v>1</v>
      </c>
      <c r="D50" s="56">
        <v>70000</v>
      </c>
      <c r="E50" s="62">
        <f t="shared" si="3"/>
        <v>70000</v>
      </c>
      <c r="F50" s="215"/>
    </row>
    <row r="51" spans="1:6" s="106" customFormat="1" ht="13.2">
      <c r="A51" s="248">
        <v>7</v>
      </c>
      <c r="B51" s="243" t="s">
        <v>93</v>
      </c>
      <c r="C51" s="243">
        <v>1</v>
      </c>
      <c r="D51" s="56">
        <v>50000</v>
      </c>
      <c r="E51" s="62">
        <f t="shared" si="3"/>
        <v>50000</v>
      </c>
      <c r="F51" s="215"/>
    </row>
    <row r="52" spans="1:6" s="106" customFormat="1" ht="13.2">
      <c r="A52" s="248">
        <v>8</v>
      </c>
      <c r="B52" s="243" t="s">
        <v>95</v>
      </c>
      <c r="C52" s="243">
        <v>1</v>
      </c>
      <c r="D52" s="56">
        <v>50000</v>
      </c>
      <c r="E52" s="62">
        <f t="shared" si="3"/>
        <v>50000</v>
      </c>
      <c r="F52" s="215"/>
    </row>
    <row r="53" spans="1:6" s="106" customFormat="1" ht="13.2">
      <c r="A53" s="248">
        <v>9</v>
      </c>
      <c r="B53" s="243" t="s">
        <v>101</v>
      </c>
      <c r="C53" s="243">
        <v>1</v>
      </c>
      <c r="D53" s="56">
        <v>45000</v>
      </c>
      <c r="E53" s="62">
        <f t="shared" si="3"/>
        <v>45000</v>
      </c>
      <c r="F53" s="215"/>
    </row>
    <row r="54" spans="1:6" s="106" customFormat="1" ht="13.2">
      <c r="A54" s="248">
        <v>10</v>
      </c>
      <c r="B54" s="243" t="s">
        <v>102</v>
      </c>
      <c r="C54" s="243">
        <v>1</v>
      </c>
      <c r="D54" s="56">
        <v>60000</v>
      </c>
      <c r="E54" s="62">
        <f t="shared" si="3"/>
        <v>60000</v>
      </c>
      <c r="F54" s="215"/>
    </row>
    <row r="55" spans="1:6" s="106" customFormat="1" ht="13.2">
      <c r="A55" s="248">
        <v>11</v>
      </c>
      <c r="B55" s="243" t="s">
        <v>94</v>
      </c>
      <c r="C55" s="243">
        <v>1</v>
      </c>
      <c r="D55" s="56">
        <v>55000</v>
      </c>
      <c r="E55" s="62">
        <f t="shared" si="3"/>
        <v>55000</v>
      </c>
      <c r="F55" s="215"/>
    </row>
    <row r="56" spans="1:6" s="106" customFormat="1" ht="13.2">
      <c r="A56" s="248">
        <v>12</v>
      </c>
      <c r="B56" s="378" t="s">
        <v>233</v>
      </c>
      <c r="C56" s="243">
        <v>1</v>
      </c>
      <c r="D56" s="56">
        <v>50000</v>
      </c>
      <c r="E56" s="62">
        <f t="shared" si="3"/>
        <v>50000</v>
      </c>
      <c r="F56" s="215"/>
    </row>
    <row r="57" spans="1:6" ht="13.2">
      <c r="A57" s="248">
        <v>13</v>
      </c>
      <c r="B57" s="243" t="s">
        <v>103</v>
      </c>
      <c r="C57" s="243">
        <v>1</v>
      </c>
      <c r="D57" s="56">
        <v>35000</v>
      </c>
      <c r="E57" s="62">
        <f t="shared" si="3"/>
        <v>35000</v>
      </c>
      <c r="F57" s="215"/>
    </row>
    <row r="58" spans="1:6" ht="13.5" customHeight="1">
      <c r="A58" s="116">
        <v>14</v>
      </c>
      <c r="B58" s="201" t="s">
        <v>104</v>
      </c>
      <c r="C58" s="201">
        <v>1</v>
      </c>
      <c r="D58" s="105">
        <v>35000</v>
      </c>
      <c r="E58" s="4">
        <f t="shared" si="3"/>
        <v>35000</v>
      </c>
      <c r="F58" s="215"/>
    </row>
    <row r="59" spans="1:6" ht="19.5" customHeight="1">
      <c r="A59" s="461" t="s">
        <v>44</v>
      </c>
      <c r="B59" s="462"/>
      <c r="C59" s="87">
        <f>SUM(C45:C58)</f>
        <v>14</v>
      </c>
      <c r="D59" s="33"/>
      <c r="E59" s="152">
        <f>SUM(E45:E58)</f>
        <v>875000</v>
      </c>
      <c r="F59" s="215"/>
    </row>
    <row r="60" spans="1:6" ht="19.5" customHeight="1">
      <c r="A60" s="15"/>
      <c r="B60" s="15"/>
      <c r="C60" s="15"/>
      <c r="D60" s="15"/>
      <c r="E60" s="15"/>
      <c r="F60" s="106"/>
    </row>
    <row r="61" spans="1:6" ht="13.2">
      <c r="A61" s="368"/>
      <c r="B61" s="388" t="s">
        <v>246</v>
      </c>
      <c r="C61" s="387">
        <f>C41+C59</f>
        <v>25</v>
      </c>
      <c r="D61" s="387"/>
      <c r="E61" s="386">
        <f>E41+E59</f>
        <v>1475000</v>
      </c>
      <c r="F61" s="106"/>
    </row>
    <row r="62" spans="1:6" ht="13.2">
      <c r="A62" s="106"/>
      <c r="B62" s="106"/>
      <c r="C62" s="106"/>
      <c r="D62" s="106"/>
      <c r="E62" s="106"/>
      <c r="F62" s="106"/>
    </row>
    <row r="63" spans="1:6" ht="28.5" customHeight="1">
      <c r="A63" s="463" t="s">
        <v>105</v>
      </c>
      <c r="B63" s="463"/>
      <c r="C63" s="463"/>
      <c r="D63" s="463"/>
      <c r="E63" s="463"/>
      <c r="F63" s="106"/>
    </row>
    <row r="64" spans="1:6" ht="27" customHeight="1">
      <c r="A64" s="223"/>
      <c r="B64" s="140" t="s">
        <v>86</v>
      </c>
      <c r="C64" s="217" t="s">
        <v>87</v>
      </c>
      <c r="D64" s="431" t="s">
        <v>261</v>
      </c>
      <c r="E64" s="432" t="s">
        <v>262</v>
      </c>
      <c r="F64" s="215"/>
    </row>
    <row r="65" spans="1:6" ht="13.2">
      <c r="A65" s="60">
        <v>1</v>
      </c>
      <c r="B65" s="135" t="s">
        <v>106</v>
      </c>
      <c r="C65" s="135">
        <v>1</v>
      </c>
      <c r="D65" s="192">
        <v>55000</v>
      </c>
      <c r="E65" s="7">
        <f>C65*D65</f>
        <v>55000</v>
      </c>
      <c r="F65" s="215"/>
    </row>
    <row r="66" spans="1:6" ht="13.2">
      <c r="A66" s="248">
        <v>2</v>
      </c>
      <c r="B66" s="100" t="s">
        <v>107</v>
      </c>
      <c r="C66" s="243">
        <v>1</v>
      </c>
      <c r="D66" s="56">
        <v>50000</v>
      </c>
      <c r="E66" s="62">
        <f>C66*D66</f>
        <v>50000</v>
      </c>
      <c r="F66" s="215"/>
    </row>
    <row r="67" spans="1:6" ht="27" customHeight="1">
      <c r="A67" s="248">
        <v>3</v>
      </c>
      <c r="B67" s="100" t="s">
        <v>108</v>
      </c>
      <c r="C67" s="243">
        <v>1</v>
      </c>
      <c r="D67" s="56">
        <v>30000</v>
      </c>
      <c r="E67" s="62">
        <f>C67*D67</f>
        <v>30000</v>
      </c>
      <c r="F67" s="215"/>
    </row>
    <row r="68" spans="1:6" ht="13.5" customHeight="1">
      <c r="A68" s="458" t="s">
        <v>97</v>
      </c>
      <c r="B68" s="459"/>
      <c r="C68" s="14">
        <f>SUM(C65:C67)</f>
        <v>3</v>
      </c>
      <c r="D68" s="187"/>
      <c r="E68" s="134">
        <f>SUM(E65:E67)</f>
        <v>135000</v>
      </c>
      <c r="F68" s="215"/>
    </row>
    <row r="69" spans="1:6" ht="13.2">
      <c r="A69" s="15"/>
      <c r="B69" s="15"/>
      <c r="C69" s="15"/>
      <c r="D69" s="15"/>
      <c r="E69" s="15"/>
      <c r="F69" s="106"/>
    </row>
    <row r="70" spans="1:6" ht="13.2">
      <c r="A70" s="106"/>
      <c r="B70" s="106"/>
      <c r="C70" s="106"/>
      <c r="D70" s="168"/>
      <c r="E70" s="106"/>
      <c r="F70" s="106"/>
    </row>
    <row r="71" spans="1:6" ht="13.2">
      <c r="A71" s="106"/>
      <c r="B71" s="106"/>
      <c r="C71" s="106"/>
      <c r="D71" s="106"/>
      <c r="E71" s="106"/>
      <c r="F71" s="106"/>
    </row>
    <row r="72" spans="1:6" ht="24.75" customHeight="1" thickBot="1">
      <c r="A72" s="460" t="s">
        <v>225</v>
      </c>
      <c r="B72" s="460"/>
      <c r="C72" s="460"/>
      <c r="D72" s="460"/>
      <c r="E72" s="460"/>
      <c r="F72" s="106"/>
    </row>
    <row r="73" spans="1:6" ht="27" customHeight="1" thickBot="1">
      <c r="A73" s="223"/>
      <c r="B73" s="140" t="s">
        <v>109</v>
      </c>
      <c r="C73" s="217" t="s">
        <v>110</v>
      </c>
      <c r="D73" s="431" t="s">
        <v>154</v>
      </c>
      <c r="E73" s="432" t="s">
        <v>262</v>
      </c>
      <c r="F73" s="215"/>
    </row>
    <row r="74" spans="1:6" ht="17.25" customHeight="1">
      <c r="A74" s="60">
        <v>1</v>
      </c>
      <c r="B74" s="433" t="s">
        <v>263</v>
      </c>
      <c r="C74" s="135">
        <v>1</v>
      </c>
      <c r="D74" s="192">
        <v>10000</v>
      </c>
      <c r="E74" s="7">
        <f>C74*D74</f>
        <v>10000</v>
      </c>
      <c r="F74" s="215"/>
    </row>
    <row r="75" spans="1:6" ht="16.5" customHeight="1">
      <c r="A75" s="248">
        <v>2</v>
      </c>
      <c r="B75" s="434" t="s">
        <v>264</v>
      </c>
      <c r="C75" s="243">
        <v>1</v>
      </c>
      <c r="D75" s="56">
        <v>150000</v>
      </c>
      <c r="E75" s="62">
        <f>C75*D75</f>
        <v>150000</v>
      </c>
      <c r="F75" s="215"/>
    </row>
    <row r="76" spans="1:6" ht="13.5" customHeight="1" thickBot="1">
      <c r="A76" s="458" t="s">
        <v>97</v>
      </c>
      <c r="B76" s="459"/>
      <c r="C76" s="14"/>
      <c r="D76" s="187"/>
      <c r="E76" s="134">
        <f>SUM(E74:E75)</f>
        <v>160000</v>
      </c>
      <c r="F76" s="215"/>
    </row>
  </sheetData>
  <mergeCells count="14">
    <mergeCell ref="A68:B68"/>
    <mergeCell ref="A76:B76"/>
    <mergeCell ref="A1:E1"/>
    <mergeCell ref="A11:B11"/>
    <mergeCell ref="A28:E28"/>
    <mergeCell ref="A59:B59"/>
    <mergeCell ref="A63:E63"/>
    <mergeCell ref="A72:E72"/>
    <mergeCell ref="A13:E13"/>
    <mergeCell ref="A3:E3"/>
    <mergeCell ref="A24:B24"/>
    <mergeCell ref="A41:B41"/>
    <mergeCell ref="A30:E30"/>
    <mergeCell ref="A43:E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A2" sqref="A2:F14"/>
    </sheetView>
  </sheetViews>
  <sheetFormatPr defaultRowHeight="15" customHeight="1"/>
  <cols>
    <col min="1" max="1" width="32.88671875" style="90" customWidth="1"/>
    <col min="2" max="2" width="14.44140625" style="90" customWidth="1"/>
    <col min="3" max="4" width="9.109375" style="90"/>
    <col min="5" max="5" width="15.33203125" style="90" customWidth="1"/>
    <col min="6" max="6" width="14.33203125" style="3" customWidth="1"/>
  </cols>
  <sheetData>
    <row r="1" spans="1:6" ht="36" customHeight="1">
      <c r="A1" s="471" t="s">
        <v>251</v>
      </c>
      <c r="B1" s="472"/>
      <c r="C1" s="472"/>
      <c r="D1" s="472"/>
      <c r="E1" s="472"/>
      <c r="F1" s="472"/>
    </row>
    <row r="2" spans="1:6" ht="21.75" customHeight="1">
      <c r="A2" s="473" t="s">
        <v>111</v>
      </c>
      <c r="B2" s="474" t="s">
        <v>112</v>
      </c>
      <c r="C2" s="473" t="s">
        <v>110</v>
      </c>
      <c r="D2" s="473" t="s">
        <v>113</v>
      </c>
      <c r="E2" s="473" t="s">
        <v>114</v>
      </c>
      <c r="F2" s="473"/>
    </row>
    <row r="3" spans="1:6" ht="18.75" customHeight="1">
      <c r="A3" s="473"/>
      <c r="B3" s="473"/>
      <c r="C3" s="473"/>
      <c r="D3" s="473"/>
      <c r="E3" s="10" t="s">
        <v>16</v>
      </c>
      <c r="F3" s="133" t="s">
        <v>115</v>
      </c>
    </row>
    <row r="4" spans="1:6" ht="26.25" customHeight="1">
      <c r="A4" s="467" t="s">
        <v>116</v>
      </c>
      <c r="B4" s="468"/>
      <c r="C4" s="468"/>
      <c r="D4" s="469"/>
      <c r="E4" s="58"/>
      <c r="F4" s="213"/>
    </row>
    <row r="5" spans="1:6" ht="16.5" customHeight="1">
      <c r="A5" s="25" t="s">
        <v>117</v>
      </c>
      <c r="B5" s="39">
        <v>300000</v>
      </c>
      <c r="C5" s="58">
        <v>1.5</v>
      </c>
      <c r="D5" s="58" t="s">
        <v>51</v>
      </c>
      <c r="E5" s="39">
        <f t="shared" ref="E5:E13" si="0">B5*C5</f>
        <v>450000</v>
      </c>
      <c r="F5" s="213">
        <f t="shared" ref="F5:F14" si="1">E5/$B$17</f>
        <v>11250</v>
      </c>
    </row>
    <row r="6" spans="1:6" ht="18" customHeight="1">
      <c r="A6" s="25" t="s">
        <v>118</v>
      </c>
      <c r="B6" s="39">
        <v>500000</v>
      </c>
      <c r="C6" s="58">
        <v>1</v>
      </c>
      <c r="D6" s="58" t="s">
        <v>51</v>
      </c>
      <c r="E6" s="39">
        <f t="shared" si="0"/>
        <v>500000</v>
      </c>
      <c r="F6" s="213">
        <f t="shared" si="1"/>
        <v>12500</v>
      </c>
    </row>
    <row r="7" spans="1:6" ht="29.25" customHeight="1">
      <c r="A7" s="25" t="s">
        <v>119</v>
      </c>
      <c r="B7" s="39">
        <v>400000</v>
      </c>
      <c r="C7" s="58">
        <v>1</v>
      </c>
      <c r="D7" s="58" t="s">
        <v>51</v>
      </c>
      <c r="E7" s="39">
        <f t="shared" si="0"/>
        <v>400000</v>
      </c>
      <c r="F7" s="213">
        <f t="shared" si="1"/>
        <v>10000</v>
      </c>
    </row>
    <row r="8" spans="1:6" ht="17.25" customHeight="1">
      <c r="A8" s="58" t="s">
        <v>120</v>
      </c>
      <c r="B8" s="39">
        <v>360000</v>
      </c>
      <c r="C8" s="58">
        <v>1.5</v>
      </c>
      <c r="D8" s="58" t="s">
        <v>51</v>
      </c>
      <c r="E8" s="39">
        <f t="shared" si="0"/>
        <v>540000</v>
      </c>
      <c r="F8" s="213">
        <f t="shared" si="1"/>
        <v>13500</v>
      </c>
    </row>
    <row r="9" spans="1:6" ht="17.25" customHeight="1">
      <c r="A9" s="58" t="s">
        <v>121</v>
      </c>
      <c r="B9" s="39">
        <v>35000</v>
      </c>
      <c r="C9" s="58">
        <v>1</v>
      </c>
      <c r="D9" s="58" t="s">
        <v>51</v>
      </c>
      <c r="E9" s="39">
        <f t="shared" si="0"/>
        <v>35000</v>
      </c>
      <c r="F9" s="213">
        <f t="shared" si="1"/>
        <v>875</v>
      </c>
    </row>
    <row r="10" spans="1:6">
      <c r="A10" s="58" t="s">
        <v>122</v>
      </c>
      <c r="B10" s="39">
        <v>120000</v>
      </c>
      <c r="C10" s="58">
        <v>1</v>
      </c>
      <c r="D10" s="58" t="s">
        <v>51</v>
      </c>
      <c r="E10" s="39">
        <f t="shared" si="0"/>
        <v>120000</v>
      </c>
      <c r="F10" s="213">
        <f t="shared" si="1"/>
        <v>3000</v>
      </c>
    </row>
    <row r="11" spans="1:6" ht="18.75" customHeight="1">
      <c r="A11" s="240" t="s">
        <v>123</v>
      </c>
      <c r="B11" s="155">
        <v>52000</v>
      </c>
      <c r="C11" s="240">
        <v>1</v>
      </c>
      <c r="D11" s="240" t="s">
        <v>51</v>
      </c>
      <c r="E11" s="155">
        <f t="shared" si="0"/>
        <v>52000</v>
      </c>
      <c r="F11" s="12">
        <f t="shared" si="1"/>
        <v>1300</v>
      </c>
    </row>
    <row r="12" spans="1:6">
      <c r="A12" s="240" t="s">
        <v>124</v>
      </c>
      <c r="B12" s="155">
        <v>87000</v>
      </c>
      <c r="C12" s="240">
        <v>1</v>
      </c>
      <c r="D12" s="240" t="s">
        <v>51</v>
      </c>
      <c r="E12" s="155">
        <f t="shared" si="0"/>
        <v>87000</v>
      </c>
      <c r="F12" s="12">
        <f t="shared" si="1"/>
        <v>2175</v>
      </c>
    </row>
    <row r="13" spans="1:6">
      <c r="A13" s="58" t="s">
        <v>125</v>
      </c>
      <c r="B13" s="39">
        <v>18000</v>
      </c>
      <c r="C13" s="58">
        <v>2</v>
      </c>
      <c r="D13" s="58" t="s">
        <v>51</v>
      </c>
      <c r="E13" s="39">
        <f t="shared" si="0"/>
        <v>36000</v>
      </c>
      <c r="F13" s="213">
        <f t="shared" si="1"/>
        <v>900</v>
      </c>
    </row>
    <row r="14" spans="1:6" ht="15.6">
      <c r="A14" s="470" t="s">
        <v>126</v>
      </c>
      <c r="B14" s="470"/>
      <c r="C14" s="470"/>
      <c r="D14" s="58"/>
      <c r="E14" s="225">
        <f>SUM(E5:E13)</f>
        <v>2220000</v>
      </c>
      <c r="F14" s="61">
        <f t="shared" si="1"/>
        <v>55500</v>
      </c>
    </row>
    <row r="15" spans="1:6" ht="13.2">
      <c r="A15" s="172"/>
      <c r="B15" s="172"/>
      <c r="C15" s="172"/>
      <c r="D15" s="172"/>
      <c r="E15" s="172"/>
      <c r="F15" s="172"/>
    </row>
    <row r="16" spans="1:6" ht="13.2">
      <c r="A16" s="106"/>
      <c r="B16" s="106"/>
      <c r="C16" s="106"/>
      <c r="D16" s="106"/>
      <c r="E16" s="106"/>
      <c r="F16" s="106"/>
    </row>
    <row r="17" spans="1:6">
      <c r="A17" s="232" t="s">
        <v>127</v>
      </c>
      <c r="B17" s="90">
        <v>40</v>
      </c>
      <c r="C17" s="90" t="s">
        <v>16</v>
      </c>
      <c r="D17" s="106"/>
      <c r="E17" s="106"/>
      <c r="F17" s="106"/>
    </row>
    <row r="18" spans="1:6" ht="13.2">
      <c r="A18" s="106"/>
      <c r="B18" s="106"/>
      <c r="C18" s="106"/>
      <c r="D18" s="106"/>
      <c r="E18" s="106"/>
      <c r="F18" s="106"/>
    </row>
  </sheetData>
  <mergeCells count="8">
    <mergeCell ref="A4:D4"/>
    <mergeCell ref="A14:C14"/>
    <mergeCell ref="A1:F1"/>
    <mergeCell ref="A2:A3"/>
    <mergeCell ref="B2:B3"/>
    <mergeCell ref="C2:C3"/>
    <mergeCell ref="D2:D3"/>
    <mergeCell ref="E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4"/>
  <sheetViews>
    <sheetView tabSelected="1" topLeftCell="A85" workbookViewId="0">
      <selection activeCell="I10" sqref="I10"/>
    </sheetView>
  </sheetViews>
  <sheetFormatPr defaultColWidth="8.6640625" defaultRowHeight="12.75" customHeight="1"/>
  <cols>
    <col min="1" max="1" width="3.6640625" customWidth="1"/>
    <col min="2" max="2" width="37.44140625" customWidth="1"/>
    <col min="3" max="3" width="11.6640625" customWidth="1"/>
    <col min="4" max="4" width="11" customWidth="1"/>
    <col min="6" max="6" width="6.6640625" customWidth="1"/>
    <col min="7" max="7" width="13.44140625" customWidth="1"/>
  </cols>
  <sheetData>
    <row r="2" spans="1:8" ht="45.75" customHeight="1">
      <c r="B2" s="471" t="s">
        <v>253</v>
      </c>
      <c r="C2" s="472"/>
      <c r="D2" s="472"/>
      <c r="E2" s="472"/>
      <c r="F2" s="472"/>
      <c r="G2" s="472"/>
    </row>
    <row r="3" spans="1:8" ht="12.75" customHeight="1">
      <c r="B3" s="13" t="s">
        <v>128</v>
      </c>
      <c r="C3" s="13" t="s">
        <v>22</v>
      </c>
      <c r="D3" s="417" t="s">
        <v>113</v>
      </c>
      <c r="E3" s="13" t="s">
        <v>110</v>
      </c>
      <c r="F3" s="417" t="s">
        <v>113</v>
      </c>
      <c r="G3" s="417" t="s">
        <v>114</v>
      </c>
    </row>
    <row r="4" spans="1:8" ht="12.75" customHeight="1">
      <c r="B4" s="257" t="s">
        <v>129</v>
      </c>
      <c r="C4" s="258">
        <v>8000</v>
      </c>
      <c r="D4" s="259" t="s">
        <v>16</v>
      </c>
      <c r="E4" s="260">
        <v>1</v>
      </c>
      <c r="F4" s="261" t="s">
        <v>51</v>
      </c>
      <c r="G4" s="258">
        <f t="shared" ref="G4:G18" si="0">C4*E4</f>
        <v>8000</v>
      </c>
    </row>
    <row r="5" spans="1:8" s="106" customFormat="1" ht="13.2">
      <c r="B5" s="257" t="s">
        <v>130</v>
      </c>
      <c r="C5" s="258">
        <v>9000</v>
      </c>
      <c r="D5" s="259" t="s">
        <v>16</v>
      </c>
      <c r="E5" s="260">
        <v>1</v>
      </c>
      <c r="F5" s="261" t="s">
        <v>51</v>
      </c>
      <c r="G5" s="258">
        <f t="shared" si="0"/>
        <v>9000</v>
      </c>
    </row>
    <row r="6" spans="1:8" s="106" customFormat="1" ht="15" customHeight="1">
      <c r="B6" s="257" t="s">
        <v>131</v>
      </c>
      <c r="C6" s="258">
        <v>250000</v>
      </c>
      <c r="D6" s="259" t="s">
        <v>16</v>
      </c>
      <c r="E6" s="260">
        <v>1</v>
      </c>
      <c r="F6" s="261" t="s">
        <v>51</v>
      </c>
      <c r="G6" s="258">
        <f t="shared" si="0"/>
        <v>250000</v>
      </c>
    </row>
    <row r="7" spans="1:8" s="106" customFormat="1" ht="17.25" customHeight="1">
      <c r="A7" s="216"/>
      <c r="B7" s="257" t="s">
        <v>132</v>
      </c>
      <c r="C7" s="258">
        <v>17000</v>
      </c>
      <c r="D7" s="259" t="s">
        <v>16</v>
      </c>
      <c r="E7" s="260">
        <v>1</v>
      </c>
      <c r="F7" s="261" t="s">
        <v>51</v>
      </c>
      <c r="G7" s="258">
        <f t="shared" si="0"/>
        <v>17000</v>
      </c>
      <c r="H7" s="111"/>
    </row>
    <row r="8" spans="1:8" s="106" customFormat="1" ht="13.2">
      <c r="A8" s="216"/>
      <c r="B8" s="390" t="s">
        <v>235</v>
      </c>
      <c r="C8" s="258">
        <v>15000</v>
      </c>
      <c r="D8" s="259" t="s">
        <v>16</v>
      </c>
      <c r="E8" s="260">
        <v>6</v>
      </c>
      <c r="F8" s="261" t="s">
        <v>137</v>
      </c>
      <c r="G8" s="258">
        <f t="shared" si="0"/>
        <v>90000</v>
      </c>
      <c r="H8" s="111"/>
    </row>
    <row r="9" spans="1:8" s="106" customFormat="1" ht="13.2">
      <c r="A9" s="216"/>
      <c r="B9" s="257" t="s">
        <v>133</v>
      </c>
      <c r="C9" s="258">
        <v>30000</v>
      </c>
      <c r="D9" s="259" t="s">
        <v>16</v>
      </c>
      <c r="E9" s="260">
        <v>6</v>
      </c>
      <c r="F9" s="261" t="s">
        <v>51</v>
      </c>
      <c r="G9" s="258">
        <f t="shared" si="0"/>
        <v>180000</v>
      </c>
      <c r="H9" s="111"/>
    </row>
    <row r="10" spans="1:8" s="106" customFormat="1" ht="39.6">
      <c r="A10" s="216"/>
      <c r="B10" s="418" t="s">
        <v>265</v>
      </c>
      <c r="C10" s="258">
        <v>5000</v>
      </c>
      <c r="D10" s="259" t="s">
        <v>16</v>
      </c>
      <c r="E10" s="262">
        <v>6</v>
      </c>
      <c r="F10" s="263" t="s">
        <v>51</v>
      </c>
      <c r="G10" s="258">
        <f t="shared" si="0"/>
        <v>30000</v>
      </c>
      <c r="H10" s="111"/>
    </row>
    <row r="11" spans="1:8" s="106" customFormat="1" ht="13.2">
      <c r="A11" s="216"/>
      <c r="B11" s="257" t="s">
        <v>134</v>
      </c>
      <c r="C11" s="258">
        <v>25000</v>
      </c>
      <c r="D11" s="259" t="s">
        <v>16</v>
      </c>
      <c r="E11" s="260">
        <v>1</v>
      </c>
      <c r="F11" s="261" t="s">
        <v>51</v>
      </c>
      <c r="G11" s="258">
        <f t="shared" si="0"/>
        <v>25000</v>
      </c>
      <c r="H11" s="111"/>
    </row>
    <row r="12" spans="1:8" s="106" customFormat="1" ht="13.2">
      <c r="A12" s="216"/>
      <c r="B12" s="257" t="s">
        <v>135</v>
      </c>
      <c r="C12" s="258">
        <v>10000</v>
      </c>
      <c r="D12" s="259" t="s">
        <v>16</v>
      </c>
      <c r="E12" s="260">
        <v>1</v>
      </c>
      <c r="F12" s="261" t="s">
        <v>51</v>
      </c>
      <c r="G12" s="258">
        <f t="shared" si="0"/>
        <v>10000</v>
      </c>
      <c r="H12" s="111"/>
    </row>
    <row r="13" spans="1:8" s="106" customFormat="1" ht="13.2">
      <c r="A13" s="216"/>
      <c r="B13" s="257" t="s">
        <v>218</v>
      </c>
      <c r="C13" s="258">
        <v>3000</v>
      </c>
      <c r="D13" s="259" t="s">
        <v>16</v>
      </c>
      <c r="E13" s="260">
        <v>1</v>
      </c>
      <c r="F13" s="261" t="s">
        <v>51</v>
      </c>
      <c r="G13" s="258">
        <f t="shared" si="0"/>
        <v>3000</v>
      </c>
      <c r="H13" s="111"/>
    </row>
    <row r="14" spans="1:8" s="106" customFormat="1" ht="26.4">
      <c r="A14" s="216"/>
      <c r="B14" s="264" t="s">
        <v>136</v>
      </c>
      <c r="C14" s="258">
        <v>50000</v>
      </c>
      <c r="D14" s="259" t="s">
        <v>16</v>
      </c>
      <c r="E14" s="260">
        <v>1</v>
      </c>
      <c r="F14" s="261" t="s">
        <v>137</v>
      </c>
      <c r="G14" s="258">
        <f t="shared" si="0"/>
        <v>50000</v>
      </c>
      <c r="H14" s="111"/>
    </row>
    <row r="15" spans="1:8" s="106" customFormat="1" ht="15.75" customHeight="1">
      <c r="A15" s="216"/>
      <c r="B15" s="264" t="s">
        <v>220</v>
      </c>
      <c r="C15" s="258">
        <v>250000</v>
      </c>
      <c r="D15" s="259" t="s">
        <v>16</v>
      </c>
      <c r="E15" s="260">
        <v>1</v>
      </c>
      <c r="F15" s="261" t="s">
        <v>221</v>
      </c>
      <c r="G15" s="258">
        <f t="shared" si="0"/>
        <v>250000</v>
      </c>
      <c r="H15" s="111"/>
    </row>
    <row r="16" spans="1:8" s="106" customFormat="1" ht="13.2">
      <c r="A16" s="216"/>
      <c r="B16" s="264" t="s">
        <v>222</v>
      </c>
      <c r="C16" s="258">
        <v>120000</v>
      </c>
      <c r="D16" s="259" t="s">
        <v>16</v>
      </c>
      <c r="E16" s="260">
        <v>1</v>
      </c>
      <c r="F16" s="261" t="s">
        <v>137</v>
      </c>
      <c r="G16" s="258">
        <f t="shared" si="0"/>
        <v>120000</v>
      </c>
      <c r="H16" s="111"/>
    </row>
    <row r="17" spans="1:10" s="106" customFormat="1" ht="26.4">
      <c r="A17" s="216"/>
      <c r="B17" s="418" t="s">
        <v>254</v>
      </c>
      <c r="C17" s="258">
        <v>300000</v>
      </c>
      <c r="D17" s="259" t="s">
        <v>16</v>
      </c>
      <c r="E17" s="260">
        <v>1</v>
      </c>
      <c r="F17" s="261" t="s">
        <v>137</v>
      </c>
      <c r="G17" s="258">
        <f t="shared" si="0"/>
        <v>300000</v>
      </c>
      <c r="H17" s="111"/>
    </row>
    <row r="18" spans="1:10" s="106" customFormat="1" ht="15.75" customHeight="1">
      <c r="A18" s="216"/>
      <c r="B18" s="264" t="s">
        <v>138</v>
      </c>
      <c r="C18" s="258">
        <v>100000</v>
      </c>
      <c r="D18" s="261" t="s">
        <v>16</v>
      </c>
      <c r="E18" s="260">
        <v>1</v>
      </c>
      <c r="F18" s="261" t="s">
        <v>137</v>
      </c>
      <c r="G18" s="258">
        <f t="shared" si="0"/>
        <v>100000</v>
      </c>
      <c r="H18" s="111"/>
    </row>
    <row r="19" spans="1:10" s="106" customFormat="1" ht="18" customHeight="1">
      <c r="A19" s="216"/>
      <c r="B19" s="164" t="s">
        <v>223</v>
      </c>
      <c r="C19" s="188"/>
      <c r="D19" s="189" t="s">
        <v>140</v>
      </c>
      <c r="E19" s="188" t="s">
        <v>140</v>
      </c>
      <c r="F19" s="189" t="s">
        <v>140</v>
      </c>
      <c r="G19" s="159">
        <f>SUM(G4:G18)</f>
        <v>1442000</v>
      </c>
      <c r="H19" s="111"/>
    </row>
    <row r="20" spans="1:10" s="106" customFormat="1" ht="18.75" customHeight="1">
      <c r="A20" s="419"/>
      <c r="B20" s="376"/>
      <c r="C20" s="376"/>
      <c r="D20" s="376"/>
      <c r="E20" s="376"/>
      <c r="F20" s="376"/>
      <c r="G20" s="376"/>
      <c r="H20" s="251"/>
    </row>
    <row r="21" spans="1:10" s="106" customFormat="1" ht="26.25" customHeight="1">
      <c r="A21" s="419"/>
      <c r="B21" s="375"/>
      <c r="C21" s="375"/>
      <c r="D21" s="375"/>
      <c r="E21" s="375"/>
      <c r="F21" s="375"/>
      <c r="G21" s="375"/>
      <c r="H21" s="251"/>
    </row>
    <row r="22" spans="1:10" s="106" customFormat="1" ht="49.5" customHeight="1">
      <c r="A22" s="419"/>
      <c r="B22" s="477" t="s">
        <v>252</v>
      </c>
      <c r="C22" s="477"/>
      <c r="D22" s="477"/>
      <c r="E22" s="477"/>
      <c r="F22" s="477"/>
      <c r="G22" s="477"/>
      <c r="H22" s="251"/>
    </row>
    <row r="23" spans="1:10" s="106" customFormat="1" ht="26.4">
      <c r="B23" s="13" t="s">
        <v>128</v>
      </c>
      <c r="C23" s="13" t="s">
        <v>22</v>
      </c>
      <c r="D23" s="417" t="s">
        <v>113</v>
      </c>
      <c r="E23" s="13" t="s">
        <v>110</v>
      </c>
      <c r="F23" s="417" t="s">
        <v>113</v>
      </c>
      <c r="G23" s="417" t="s">
        <v>114</v>
      </c>
    </row>
    <row r="24" spans="1:10" s="106" customFormat="1" ht="13.2">
      <c r="B24" s="257" t="s">
        <v>129</v>
      </c>
      <c r="C24" s="258">
        <v>8000</v>
      </c>
      <c r="D24" s="259" t="s">
        <v>16</v>
      </c>
      <c r="E24" s="260">
        <v>2</v>
      </c>
      <c r="F24" s="261" t="s">
        <v>51</v>
      </c>
      <c r="G24" s="258">
        <f t="shared" ref="G24:G39" si="1">C24*E24</f>
        <v>16000</v>
      </c>
    </row>
    <row r="25" spans="1:10" s="106" customFormat="1" ht="13.2">
      <c r="B25" s="257" t="s">
        <v>130</v>
      </c>
      <c r="C25" s="258">
        <v>9000</v>
      </c>
      <c r="D25" s="259" t="s">
        <v>16</v>
      </c>
      <c r="E25" s="260">
        <v>2</v>
      </c>
      <c r="F25" s="261" t="s">
        <v>51</v>
      </c>
      <c r="G25" s="258">
        <f t="shared" si="1"/>
        <v>18000</v>
      </c>
    </row>
    <row r="26" spans="1:10" ht="15" customHeight="1">
      <c r="A26" s="106"/>
      <c r="B26" s="257" t="s">
        <v>131</v>
      </c>
      <c r="C26" s="258">
        <v>250000</v>
      </c>
      <c r="D26" s="259" t="s">
        <v>16</v>
      </c>
      <c r="E26" s="260">
        <v>1</v>
      </c>
      <c r="F26" s="261" t="s">
        <v>51</v>
      </c>
      <c r="G26" s="258">
        <f t="shared" si="1"/>
        <v>250000</v>
      </c>
      <c r="H26" s="106"/>
      <c r="I26" s="106"/>
      <c r="J26" s="106"/>
    </row>
    <row r="27" spans="1:10" ht="15" customHeight="1">
      <c r="A27" s="106"/>
      <c r="B27" s="257" t="s">
        <v>132</v>
      </c>
      <c r="C27" s="258">
        <v>17000</v>
      </c>
      <c r="D27" s="259" t="s">
        <v>16</v>
      </c>
      <c r="E27" s="260">
        <v>2</v>
      </c>
      <c r="F27" s="261" t="s">
        <v>51</v>
      </c>
      <c r="G27" s="258">
        <f t="shared" si="1"/>
        <v>34000</v>
      </c>
      <c r="H27" s="106"/>
      <c r="I27" s="106"/>
      <c r="J27" s="106"/>
    </row>
    <row r="28" spans="1:10" ht="16.5" customHeight="1">
      <c r="A28" s="216"/>
      <c r="B28" s="257" t="s">
        <v>224</v>
      </c>
      <c r="C28" s="258">
        <v>3000</v>
      </c>
      <c r="D28" s="259" t="s">
        <v>16</v>
      </c>
      <c r="E28" s="260">
        <v>3</v>
      </c>
      <c r="F28" s="261" t="s">
        <v>51</v>
      </c>
      <c r="G28" s="258">
        <f t="shared" si="1"/>
        <v>9000</v>
      </c>
      <c r="H28" s="36"/>
      <c r="I28" s="106"/>
      <c r="J28" s="106"/>
    </row>
    <row r="29" spans="1:10" ht="13.2">
      <c r="A29" s="216"/>
      <c r="B29" s="390" t="s">
        <v>235</v>
      </c>
      <c r="C29" s="258">
        <v>15000</v>
      </c>
      <c r="D29" s="259" t="s">
        <v>16</v>
      </c>
      <c r="E29" s="260">
        <v>9</v>
      </c>
      <c r="F29" s="261" t="s">
        <v>137</v>
      </c>
      <c r="G29" s="258">
        <f t="shared" si="1"/>
        <v>135000</v>
      </c>
      <c r="H29" s="111"/>
      <c r="I29" s="106"/>
      <c r="J29" s="106"/>
    </row>
    <row r="30" spans="1:10" ht="13.2">
      <c r="A30" s="216"/>
      <c r="B30" s="257" t="s">
        <v>133</v>
      </c>
      <c r="C30" s="258">
        <v>30000</v>
      </c>
      <c r="D30" s="259" t="s">
        <v>16</v>
      </c>
      <c r="E30" s="260">
        <v>9</v>
      </c>
      <c r="F30" s="261" t="s">
        <v>51</v>
      </c>
      <c r="G30" s="258">
        <f t="shared" si="1"/>
        <v>270000</v>
      </c>
      <c r="H30" s="111"/>
      <c r="I30" s="106"/>
      <c r="J30" s="106"/>
    </row>
    <row r="31" spans="1:10" ht="39.6">
      <c r="A31" s="216"/>
      <c r="B31" s="418" t="s">
        <v>265</v>
      </c>
      <c r="C31" s="258">
        <v>5000</v>
      </c>
      <c r="D31" s="259" t="s">
        <v>16</v>
      </c>
      <c r="E31" s="262">
        <v>9</v>
      </c>
      <c r="F31" s="263" t="s">
        <v>51</v>
      </c>
      <c r="G31" s="258">
        <f t="shared" si="1"/>
        <v>45000</v>
      </c>
      <c r="H31" s="111"/>
      <c r="I31" s="106"/>
      <c r="J31" s="106"/>
    </row>
    <row r="32" spans="1:10" s="106" customFormat="1" ht="13.2">
      <c r="A32" s="216"/>
      <c r="B32" s="257" t="s">
        <v>134</v>
      </c>
      <c r="C32" s="258">
        <v>25000</v>
      </c>
      <c r="D32" s="259" t="s">
        <v>16</v>
      </c>
      <c r="E32" s="260">
        <v>1</v>
      </c>
      <c r="F32" s="261" t="s">
        <v>51</v>
      </c>
      <c r="G32" s="258">
        <f t="shared" si="1"/>
        <v>25000</v>
      </c>
      <c r="H32" s="111"/>
    </row>
    <row r="33" spans="1:10" ht="13.2">
      <c r="A33" s="216"/>
      <c r="B33" s="257" t="s">
        <v>135</v>
      </c>
      <c r="C33" s="258">
        <v>10000</v>
      </c>
      <c r="D33" s="259" t="s">
        <v>16</v>
      </c>
      <c r="E33" s="260">
        <v>1</v>
      </c>
      <c r="F33" s="261" t="s">
        <v>51</v>
      </c>
      <c r="G33" s="258">
        <f t="shared" si="1"/>
        <v>10000</v>
      </c>
      <c r="H33" s="111"/>
      <c r="I33" s="106"/>
      <c r="J33" s="106"/>
    </row>
    <row r="34" spans="1:10" ht="13.2">
      <c r="A34" s="216"/>
      <c r="B34" s="257" t="s">
        <v>218</v>
      </c>
      <c r="C34" s="258">
        <v>3000</v>
      </c>
      <c r="D34" s="259" t="s">
        <v>16</v>
      </c>
      <c r="E34" s="260">
        <v>1</v>
      </c>
      <c r="F34" s="261" t="s">
        <v>51</v>
      </c>
      <c r="G34" s="258">
        <f t="shared" si="1"/>
        <v>3000</v>
      </c>
      <c r="H34" s="111"/>
      <c r="I34" s="106"/>
      <c r="J34" s="106"/>
    </row>
    <row r="35" spans="1:10" ht="26.4">
      <c r="A35" s="216"/>
      <c r="B35" s="264" t="s">
        <v>136</v>
      </c>
      <c r="C35" s="258">
        <v>200000</v>
      </c>
      <c r="D35" s="259" t="s">
        <v>16</v>
      </c>
      <c r="E35" s="260">
        <v>1</v>
      </c>
      <c r="F35" s="261" t="s">
        <v>137</v>
      </c>
      <c r="G35" s="258">
        <f t="shared" si="1"/>
        <v>200000</v>
      </c>
      <c r="H35" s="111"/>
      <c r="I35" s="106"/>
      <c r="J35" s="106"/>
    </row>
    <row r="36" spans="1:10" ht="26.4">
      <c r="A36" s="216"/>
      <c r="B36" s="264" t="s">
        <v>219</v>
      </c>
      <c r="C36" s="258">
        <v>160000</v>
      </c>
      <c r="D36" s="259" t="s">
        <v>16</v>
      </c>
      <c r="E36" s="260">
        <v>1</v>
      </c>
      <c r="F36" s="261" t="s">
        <v>221</v>
      </c>
      <c r="G36" s="258">
        <f t="shared" si="1"/>
        <v>160000</v>
      </c>
      <c r="H36" s="111"/>
      <c r="I36" s="106"/>
      <c r="J36" s="106"/>
    </row>
    <row r="37" spans="1:10" s="19" customFormat="1" ht="13.2">
      <c r="A37" s="131"/>
      <c r="B37" s="264" t="s">
        <v>220</v>
      </c>
      <c r="C37" s="258">
        <v>250000</v>
      </c>
      <c r="D37" s="259" t="s">
        <v>16</v>
      </c>
      <c r="E37" s="260">
        <v>1</v>
      </c>
      <c r="F37" s="261" t="s">
        <v>221</v>
      </c>
      <c r="G37" s="258">
        <f t="shared" si="1"/>
        <v>250000</v>
      </c>
      <c r="H37" s="36"/>
    </row>
    <row r="38" spans="1:10" ht="13.2">
      <c r="A38" s="106"/>
      <c r="B38" s="264" t="s">
        <v>222</v>
      </c>
      <c r="C38" s="258">
        <v>120000</v>
      </c>
      <c r="D38" s="259" t="s">
        <v>16</v>
      </c>
      <c r="E38" s="260">
        <v>1</v>
      </c>
      <c r="F38" s="261" t="s">
        <v>137</v>
      </c>
      <c r="G38" s="258">
        <f t="shared" si="1"/>
        <v>120000</v>
      </c>
      <c r="H38" s="106"/>
      <c r="I38" s="106"/>
      <c r="J38" s="106"/>
    </row>
    <row r="39" spans="1:10" ht="13.2">
      <c r="A39" s="106"/>
      <c r="B39" s="264" t="s">
        <v>138</v>
      </c>
      <c r="C39" s="258">
        <v>150000</v>
      </c>
      <c r="D39" s="261" t="s">
        <v>16</v>
      </c>
      <c r="E39" s="260">
        <v>1</v>
      </c>
      <c r="F39" s="261" t="s">
        <v>137</v>
      </c>
      <c r="G39" s="258">
        <f t="shared" si="1"/>
        <v>150000</v>
      </c>
      <c r="H39" s="106"/>
      <c r="I39" s="106"/>
      <c r="J39" s="106"/>
    </row>
    <row r="40" spans="1:10" ht="17.25" customHeight="1">
      <c r="A40" s="106"/>
      <c r="B40" s="164" t="s">
        <v>223</v>
      </c>
      <c r="C40" s="188"/>
      <c r="D40" s="189" t="s">
        <v>140</v>
      </c>
      <c r="E40" s="188" t="s">
        <v>140</v>
      </c>
      <c r="F40" s="189" t="s">
        <v>140</v>
      </c>
      <c r="G40" s="159">
        <f>SUM(G24:G39)</f>
        <v>1695000</v>
      </c>
      <c r="H40" s="106"/>
      <c r="I40" s="106"/>
      <c r="J40" s="106"/>
    </row>
    <row r="41" spans="1:10" ht="15" customHeight="1">
      <c r="A41" s="106"/>
      <c r="B41" s="172"/>
      <c r="C41" s="172"/>
      <c r="D41" s="172"/>
      <c r="E41" s="172"/>
      <c r="F41" s="172"/>
      <c r="G41" s="172"/>
      <c r="H41" s="106"/>
      <c r="I41" s="106"/>
      <c r="J41" s="106"/>
    </row>
    <row r="42" spans="1:10" ht="26.25" customHeight="1">
      <c r="A42" s="419"/>
      <c r="B42" s="375"/>
      <c r="C42" s="375"/>
      <c r="D42" s="375"/>
      <c r="E42" s="375"/>
      <c r="F42" s="375"/>
      <c r="G42" s="375"/>
      <c r="H42" s="251"/>
      <c r="I42" s="106"/>
      <c r="J42" s="106"/>
    </row>
    <row r="43" spans="1:10" ht="13.2">
      <c r="A43" s="419"/>
      <c r="B43" s="375"/>
      <c r="C43" s="375"/>
      <c r="D43" s="375"/>
      <c r="E43" s="375"/>
      <c r="F43" s="375"/>
      <c r="G43" s="375"/>
      <c r="H43" s="251"/>
      <c r="I43" s="106"/>
      <c r="J43" s="106"/>
    </row>
    <row r="44" spans="1:10" ht="17.399999999999999">
      <c r="A44" s="419"/>
      <c r="B44" s="478" t="s">
        <v>1</v>
      </c>
      <c r="C44" s="478"/>
      <c r="D44" s="478"/>
      <c r="E44" s="478"/>
      <c r="F44" s="478"/>
      <c r="G44" s="478"/>
      <c r="H44" s="251"/>
      <c r="I44" s="106"/>
      <c r="J44" s="106"/>
    </row>
    <row r="45" spans="1:10" ht="17.399999999999999">
      <c r="A45" s="419"/>
      <c r="B45" s="420"/>
      <c r="C45" s="420"/>
      <c r="D45" s="420"/>
      <c r="E45" s="420"/>
      <c r="F45" s="420"/>
      <c r="G45" s="420"/>
      <c r="H45" s="251"/>
      <c r="I45" s="106"/>
      <c r="J45" s="106"/>
    </row>
    <row r="46" spans="1:10" s="106" customFormat="1" ht="15.6">
      <c r="A46" s="419"/>
      <c r="B46" s="475" t="s">
        <v>256</v>
      </c>
      <c r="C46" s="476"/>
      <c r="D46" s="476"/>
      <c r="E46" s="476"/>
      <c r="F46" s="476"/>
      <c r="G46" s="476"/>
      <c r="H46" s="251"/>
    </row>
    <row r="47" spans="1:10" ht="26.4">
      <c r="A47" s="216"/>
      <c r="B47" s="13" t="s">
        <v>128</v>
      </c>
      <c r="C47" s="13" t="s">
        <v>22</v>
      </c>
      <c r="D47" s="422" t="s">
        <v>113</v>
      </c>
      <c r="E47" s="13" t="s">
        <v>110</v>
      </c>
      <c r="F47" s="422" t="s">
        <v>113</v>
      </c>
      <c r="G47" s="422" t="s">
        <v>114</v>
      </c>
      <c r="H47" s="111"/>
      <c r="I47" s="106"/>
      <c r="J47" s="106"/>
    </row>
    <row r="48" spans="1:10" ht="13.2">
      <c r="A48" s="216"/>
      <c r="B48" s="183" t="s">
        <v>142</v>
      </c>
      <c r="C48" s="1">
        <v>40000</v>
      </c>
      <c r="D48" s="214" t="s">
        <v>16</v>
      </c>
      <c r="E48" s="99">
        <v>2</v>
      </c>
      <c r="F48" s="178" t="s">
        <v>51</v>
      </c>
      <c r="G48" s="157">
        <f t="shared" ref="G48:G54" si="2">C48*E48</f>
        <v>80000</v>
      </c>
      <c r="H48" s="111"/>
      <c r="I48" s="106"/>
      <c r="J48" s="106"/>
    </row>
    <row r="49" spans="1:10" ht="13.2">
      <c r="A49" s="216"/>
      <c r="B49" s="183" t="s">
        <v>143</v>
      </c>
      <c r="C49" s="1">
        <v>1600</v>
      </c>
      <c r="D49" s="214" t="s">
        <v>16</v>
      </c>
      <c r="E49" s="99">
        <v>2</v>
      </c>
      <c r="F49" s="178" t="s">
        <v>51</v>
      </c>
      <c r="G49" s="157">
        <f t="shared" si="2"/>
        <v>3200</v>
      </c>
      <c r="H49" s="111"/>
      <c r="I49" s="106"/>
      <c r="J49" s="106"/>
    </row>
    <row r="50" spans="1:10" ht="13.2">
      <c r="A50" s="216"/>
      <c r="B50" s="378" t="s">
        <v>257</v>
      </c>
      <c r="C50" s="157">
        <v>120000</v>
      </c>
      <c r="D50" s="214" t="s">
        <v>16</v>
      </c>
      <c r="E50" s="99">
        <v>1</v>
      </c>
      <c r="F50" s="178" t="s">
        <v>51</v>
      </c>
      <c r="G50" s="157">
        <f t="shared" si="2"/>
        <v>120000</v>
      </c>
      <c r="H50" s="111"/>
      <c r="I50" s="106"/>
      <c r="J50" s="106"/>
    </row>
    <row r="51" spans="1:10" ht="12.75" customHeight="1">
      <c r="B51" s="378" t="s">
        <v>258</v>
      </c>
      <c r="C51" s="157">
        <v>20000</v>
      </c>
      <c r="D51" s="214" t="s">
        <v>16</v>
      </c>
      <c r="E51" s="99">
        <v>1</v>
      </c>
      <c r="F51" s="178" t="s">
        <v>51</v>
      </c>
      <c r="G51" s="157">
        <f t="shared" si="2"/>
        <v>20000</v>
      </c>
    </row>
    <row r="52" spans="1:10" ht="12.75" customHeight="1">
      <c r="B52" s="421" t="s">
        <v>146</v>
      </c>
      <c r="C52" s="157">
        <v>5000</v>
      </c>
      <c r="D52" s="214" t="s">
        <v>16</v>
      </c>
      <c r="E52" s="99">
        <v>1</v>
      </c>
      <c r="F52" s="178" t="s">
        <v>51</v>
      </c>
      <c r="G52" s="157">
        <f t="shared" si="2"/>
        <v>5000</v>
      </c>
    </row>
    <row r="53" spans="1:10" ht="12.75" customHeight="1">
      <c r="B53" s="421" t="s">
        <v>147</v>
      </c>
      <c r="C53" s="157">
        <v>3000</v>
      </c>
      <c r="D53" s="214" t="s">
        <v>16</v>
      </c>
      <c r="E53" s="99">
        <v>1</v>
      </c>
      <c r="F53" s="178" t="s">
        <v>148</v>
      </c>
      <c r="G53" s="157">
        <f t="shared" si="2"/>
        <v>3000</v>
      </c>
    </row>
    <row r="54" spans="1:10" ht="12.75" customHeight="1">
      <c r="B54" s="421" t="s">
        <v>149</v>
      </c>
      <c r="C54" s="157">
        <v>10000</v>
      </c>
      <c r="D54" s="178" t="s">
        <v>16</v>
      </c>
      <c r="E54" s="99">
        <v>1</v>
      </c>
      <c r="F54" s="178" t="s">
        <v>150</v>
      </c>
      <c r="G54" s="157">
        <f t="shared" si="2"/>
        <v>10000</v>
      </c>
    </row>
    <row r="55" spans="1:10" ht="12.75" customHeight="1">
      <c r="B55" s="164" t="s">
        <v>44</v>
      </c>
      <c r="C55" s="188"/>
      <c r="D55" s="189" t="s">
        <v>140</v>
      </c>
      <c r="E55" s="188" t="s">
        <v>140</v>
      </c>
      <c r="F55" s="189" t="s">
        <v>140</v>
      </c>
      <c r="G55" s="159">
        <f>SUM(G48:G54)</f>
        <v>241200</v>
      </c>
    </row>
    <row r="56" spans="1:10" ht="17.399999999999999">
      <c r="A56" s="419"/>
      <c r="B56" s="420"/>
      <c r="C56" s="420"/>
      <c r="D56" s="420"/>
      <c r="E56" s="420"/>
      <c r="F56" s="420"/>
      <c r="G56" s="420"/>
      <c r="H56" s="251"/>
      <c r="I56" s="106"/>
      <c r="J56" s="106"/>
    </row>
    <row r="57" spans="1:10" ht="17.399999999999999">
      <c r="A57" s="419"/>
      <c r="B57" s="420"/>
      <c r="C57" s="420"/>
      <c r="D57" s="420"/>
      <c r="E57" s="420"/>
      <c r="F57" s="420"/>
      <c r="G57" s="420"/>
      <c r="H57" s="251"/>
      <c r="I57" s="106"/>
      <c r="J57" s="106"/>
    </row>
    <row r="58" spans="1:10" s="106" customFormat="1" ht="15.6">
      <c r="A58" s="419"/>
      <c r="B58" s="475" t="s">
        <v>255</v>
      </c>
      <c r="C58" s="476"/>
      <c r="D58" s="476"/>
      <c r="E58" s="476"/>
      <c r="F58" s="476"/>
      <c r="G58" s="476"/>
      <c r="H58" s="251"/>
    </row>
    <row r="59" spans="1:10" ht="26.4">
      <c r="A59" s="216"/>
      <c r="B59" s="13" t="s">
        <v>128</v>
      </c>
      <c r="C59" s="13" t="s">
        <v>22</v>
      </c>
      <c r="D59" s="417" t="s">
        <v>113</v>
      </c>
      <c r="E59" s="13" t="s">
        <v>110</v>
      </c>
      <c r="F59" s="417" t="s">
        <v>113</v>
      </c>
      <c r="G59" s="417" t="s">
        <v>114</v>
      </c>
      <c r="H59" s="111"/>
      <c r="I59" s="106"/>
      <c r="J59" s="106"/>
    </row>
    <row r="60" spans="1:10" ht="13.2">
      <c r="A60" s="216"/>
      <c r="B60" s="416" t="s">
        <v>141</v>
      </c>
      <c r="C60" s="157">
        <v>30000</v>
      </c>
      <c r="D60" s="214" t="s">
        <v>16</v>
      </c>
      <c r="E60" s="99">
        <v>1</v>
      </c>
      <c r="F60" s="178" t="s">
        <v>51</v>
      </c>
      <c r="G60" s="157">
        <f t="shared" ref="G60:G67" si="3">C60*E60</f>
        <v>30000</v>
      </c>
      <c r="H60" s="111"/>
      <c r="I60" s="106"/>
      <c r="J60" s="106"/>
    </row>
    <row r="61" spans="1:10" ht="13.2">
      <c r="A61" s="216"/>
      <c r="B61" s="183" t="s">
        <v>142</v>
      </c>
      <c r="C61" s="1">
        <v>40000</v>
      </c>
      <c r="D61" s="214" t="s">
        <v>16</v>
      </c>
      <c r="E61" s="99">
        <v>2</v>
      </c>
      <c r="F61" s="178" t="s">
        <v>51</v>
      </c>
      <c r="G61" s="157">
        <f t="shared" si="3"/>
        <v>80000</v>
      </c>
      <c r="H61" s="111"/>
      <c r="I61" s="106"/>
      <c r="J61" s="106"/>
    </row>
    <row r="62" spans="1:10" ht="13.2">
      <c r="A62" s="216"/>
      <c r="B62" s="183" t="s">
        <v>143</v>
      </c>
      <c r="C62" s="1">
        <v>1600</v>
      </c>
      <c r="D62" s="214" t="s">
        <v>16</v>
      </c>
      <c r="E62" s="99">
        <v>8</v>
      </c>
      <c r="F62" s="178" t="s">
        <v>51</v>
      </c>
      <c r="G62" s="157">
        <f t="shared" si="3"/>
        <v>12800</v>
      </c>
      <c r="H62" s="111"/>
      <c r="I62" s="106"/>
      <c r="J62" s="106"/>
    </row>
    <row r="63" spans="1:10" ht="13.2">
      <c r="A63" s="216"/>
      <c r="B63" s="243" t="s">
        <v>144</v>
      </c>
      <c r="C63" s="157">
        <v>220000</v>
      </c>
      <c r="D63" s="214" t="s">
        <v>16</v>
      </c>
      <c r="E63" s="99">
        <v>1</v>
      </c>
      <c r="F63" s="178" t="s">
        <v>51</v>
      </c>
      <c r="G63" s="157">
        <f t="shared" si="3"/>
        <v>220000</v>
      </c>
      <c r="H63" s="111"/>
      <c r="I63" s="106"/>
      <c r="J63" s="106"/>
    </row>
    <row r="64" spans="1:10" ht="12.75" customHeight="1">
      <c r="B64" s="243" t="s">
        <v>145</v>
      </c>
      <c r="C64" s="157">
        <v>20000</v>
      </c>
      <c r="D64" s="214" t="s">
        <v>16</v>
      </c>
      <c r="E64" s="99">
        <v>1</v>
      </c>
      <c r="F64" s="178" t="s">
        <v>51</v>
      </c>
      <c r="G64" s="157">
        <f t="shared" si="3"/>
        <v>20000</v>
      </c>
    </row>
    <row r="65" spans="2:7" ht="12.75" customHeight="1">
      <c r="B65" s="243" t="s">
        <v>146</v>
      </c>
      <c r="C65" s="157">
        <v>5000</v>
      </c>
      <c r="D65" s="214" t="s">
        <v>16</v>
      </c>
      <c r="E65" s="99">
        <v>1</v>
      </c>
      <c r="F65" s="178" t="s">
        <v>51</v>
      </c>
      <c r="G65" s="157">
        <f t="shared" si="3"/>
        <v>5000</v>
      </c>
    </row>
    <row r="66" spans="2:7" ht="12.75" customHeight="1">
      <c r="B66" s="243" t="s">
        <v>147</v>
      </c>
      <c r="C66" s="157">
        <v>3000</v>
      </c>
      <c r="D66" s="214" t="s">
        <v>16</v>
      </c>
      <c r="E66" s="99">
        <v>1</v>
      </c>
      <c r="F66" s="178" t="s">
        <v>148</v>
      </c>
      <c r="G66" s="157">
        <f t="shared" si="3"/>
        <v>3000</v>
      </c>
    </row>
    <row r="67" spans="2:7" ht="12.75" customHeight="1">
      <c r="B67" s="243" t="s">
        <v>149</v>
      </c>
      <c r="C67" s="157">
        <v>10000</v>
      </c>
      <c r="D67" s="178" t="s">
        <v>16</v>
      </c>
      <c r="E67" s="99">
        <v>2</v>
      </c>
      <c r="F67" s="178" t="s">
        <v>150</v>
      </c>
      <c r="G67" s="157">
        <f t="shared" si="3"/>
        <v>20000</v>
      </c>
    </row>
    <row r="68" spans="2:7" ht="12.75" customHeight="1">
      <c r="B68" s="164" t="s">
        <v>126</v>
      </c>
      <c r="C68" s="188"/>
      <c r="D68" s="189" t="s">
        <v>140</v>
      </c>
      <c r="E68" s="188" t="s">
        <v>140</v>
      </c>
      <c r="F68" s="189" t="s">
        <v>140</v>
      </c>
      <c r="G68" s="159">
        <f>SUM(G60:G67)</f>
        <v>390800</v>
      </c>
    </row>
    <row r="69" spans="2:7" ht="12.75" customHeight="1">
      <c r="B69" s="172"/>
      <c r="C69" s="172"/>
      <c r="D69" s="172"/>
      <c r="E69" s="172"/>
      <c r="F69" s="172"/>
      <c r="G69" s="172"/>
    </row>
    <row r="70" spans="2:7" ht="12.75" customHeight="1">
      <c r="B70" s="106"/>
      <c r="C70" s="106"/>
      <c r="D70" s="106"/>
      <c r="E70" s="106"/>
      <c r="F70" s="106"/>
      <c r="G70" s="106"/>
    </row>
    <row r="71" spans="2:7" ht="12.75" customHeight="1">
      <c r="B71" s="479" t="s">
        <v>3</v>
      </c>
      <c r="C71" s="479"/>
      <c r="D71" s="479"/>
      <c r="E71" s="479"/>
      <c r="F71" s="479"/>
      <c r="G71" s="479"/>
    </row>
    <row r="72" spans="2:7" ht="12.75" customHeight="1">
      <c r="B72" s="423"/>
      <c r="C72" s="423"/>
      <c r="D72" s="423"/>
      <c r="E72" s="423"/>
      <c r="F72" s="423"/>
      <c r="G72" s="423"/>
    </row>
    <row r="73" spans="2:7" ht="12.75" customHeight="1">
      <c r="B73" s="475" t="s">
        <v>256</v>
      </c>
      <c r="C73" s="476"/>
      <c r="D73" s="476"/>
      <c r="E73" s="476"/>
      <c r="F73" s="476"/>
      <c r="G73" s="476"/>
    </row>
    <row r="74" spans="2:7" ht="12.75" customHeight="1">
      <c r="B74" s="13" t="s">
        <v>128</v>
      </c>
      <c r="C74" s="13" t="s">
        <v>22</v>
      </c>
      <c r="D74" s="425" t="s">
        <v>113</v>
      </c>
      <c r="E74" s="13" t="s">
        <v>110</v>
      </c>
      <c r="F74" s="425" t="s">
        <v>113</v>
      </c>
      <c r="G74" s="425" t="s">
        <v>114</v>
      </c>
    </row>
    <row r="75" spans="2:7" ht="12.75" customHeight="1">
      <c r="B75" s="424" t="s">
        <v>142</v>
      </c>
      <c r="C75" s="157">
        <v>40000</v>
      </c>
      <c r="D75" s="214" t="s">
        <v>16</v>
      </c>
      <c r="E75" s="99">
        <v>2</v>
      </c>
      <c r="F75" s="178" t="s">
        <v>51</v>
      </c>
      <c r="G75" s="157">
        <f t="shared" ref="G75:G81" si="4">C75*E75</f>
        <v>80000</v>
      </c>
    </row>
    <row r="76" spans="2:7" ht="12.75" customHeight="1">
      <c r="B76" s="424" t="s">
        <v>143</v>
      </c>
      <c r="C76" s="157">
        <v>1600</v>
      </c>
      <c r="D76" s="214" t="s">
        <v>16</v>
      </c>
      <c r="E76" s="99">
        <v>4</v>
      </c>
      <c r="F76" s="178" t="s">
        <v>51</v>
      </c>
      <c r="G76" s="157">
        <f t="shared" si="4"/>
        <v>6400</v>
      </c>
    </row>
    <row r="77" spans="2:7" ht="12.75" customHeight="1">
      <c r="B77" s="378" t="s">
        <v>257</v>
      </c>
      <c r="C77" s="157">
        <v>130000</v>
      </c>
      <c r="D77" s="214" t="s">
        <v>16</v>
      </c>
      <c r="E77" s="99">
        <v>1</v>
      </c>
      <c r="F77" s="178" t="s">
        <v>51</v>
      </c>
      <c r="G77" s="157">
        <f t="shared" si="4"/>
        <v>130000</v>
      </c>
    </row>
    <row r="78" spans="2:7" ht="12.75" customHeight="1">
      <c r="B78" s="378" t="s">
        <v>258</v>
      </c>
      <c r="C78" s="157">
        <v>30000</v>
      </c>
      <c r="D78" s="214" t="s">
        <v>16</v>
      </c>
      <c r="E78" s="99">
        <v>1</v>
      </c>
      <c r="F78" s="178" t="s">
        <v>51</v>
      </c>
      <c r="G78" s="157">
        <f t="shared" si="4"/>
        <v>30000</v>
      </c>
    </row>
    <row r="79" spans="2:7" ht="12.75" customHeight="1">
      <c r="B79" s="424" t="s">
        <v>146</v>
      </c>
      <c r="C79" s="157">
        <v>5000</v>
      </c>
      <c r="D79" s="214" t="s">
        <v>16</v>
      </c>
      <c r="E79" s="99">
        <v>1</v>
      </c>
      <c r="F79" s="178" t="s">
        <v>51</v>
      </c>
      <c r="G79" s="157">
        <f t="shared" si="4"/>
        <v>5000</v>
      </c>
    </row>
    <row r="80" spans="2:7" ht="12.75" customHeight="1">
      <c r="B80" s="424" t="s">
        <v>151</v>
      </c>
      <c r="C80" s="157">
        <v>6000</v>
      </c>
      <c r="D80" s="214" t="s">
        <v>16</v>
      </c>
      <c r="E80" s="99">
        <v>1</v>
      </c>
      <c r="F80" s="178" t="s">
        <v>148</v>
      </c>
      <c r="G80" s="157">
        <f t="shared" si="4"/>
        <v>6000</v>
      </c>
    </row>
    <row r="81" spans="2:7" ht="12.75" customHeight="1">
      <c r="B81" s="424" t="s">
        <v>149</v>
      </c>
      <c r="C81" s="157">
        <v>10000</v>
      </c>
      <c r="D81" s="178" t="s">
        <v>16</v>
      </c>
      <c r="E81" s="99">
        <v>1</v>
      </c>
      <c r="F81" s="178" t="s">
        <v>150</v>
      </c>
      <c r="G81" s="157">
        <f t="shared" si="4"/>
        <v>10000</v>
      </c>
    </row>
    <row r="82" spans="2:7" ht="12.75" customHeight="1">
      <c r="B82" s="164" t="s">
        <v>139</v>
      </c>
      <c r="C82" s="188"/>
      <c r="D82" s="189" t="s">
        <v>140</v>
      </c>
      <c r="E82" s="188" t="s">
        <v>140</v>
      </c>
      <c r="F82" s="189" t="s">
        <v>140</v>
      </c>
      <c r="G82" s="159">
        <f>SUM(G75:G81)</f>
        <v>267400</v>
      </c>
    </row>
    <row r="83" spans="2:7" ht="12.75" customHeight="1">
      <c r="B83" s="423"/>
      <c r="C83" s="423"/>
      <c r="D83" s="423"/>
      <c r="E83" s="423"/>
      <c r="F83" s="423"/>
      <c r="G83" s="423"/>
    </row>
    <row r="84" spans="2:7" ht="12.75" customHeight="1">
      <c r="B84" s="423"/>
      <c r="C84" s="423"/>
      <c r="D84" s="423"/>
      <c r="E84" s="423"/>
      <c r="F84" s="423"/>
      <c r="G84" s="423"/>
    </row>
    <row r="85" spans="2:7" ht="12.75" customHeight="1">
      <c r="B85" s="426" t="s">
        <v>260</v>
      </c>
      <c r="C85" s="210"/>
      <c r="D85" s="210"/>
      <c r="E85" s="210"/>
      <c r="F85" s="210"/>
      <c r="G85" s="210"/>
    </row>
    <row r="86" spans="2:7" ht="12.75" customHeight="1">
      <c r="B86" s="13" t="s">
        <v>128</v>
      </c>
      <c r="C86" s="13" t="s">
        <v>22</v>
      </c>
      <c r="D86" s="127" t="s">
        <v>113</v>
      </c>
      <c r="E86" s="13" t="s">
        <v>110</v>
      </c>
      <c r="F86" s="127" t="s">
        <v>113</v>
      </c>
      <c r="G86" s="127" t="s">
        <v>114</v>
      </c>
    </row>
    <row r="87" spans="2:7" ht="12.75" customHeight="1">
      <c r="B87" s="243" t="s">
        <v>142</v>
      </c>
      <c r="C87" s="157">
        <v>40000</v>
      </c>
      <c r="D87" s="214" t="s">
        <v>16</v>
      </c>
      <c r="E87" s="99">
        <v>2</v>
      </c>
      <c r="F87" s="178" t="s">
        <v>51</v>
      </c>
      <c r="G87" s="157">
        <f t="shared" ref="G87:G93" si="5">C87*E87</f>
        <v>80000</v>
      </c>
    </row>
    <row r="88" spans="2:7" ht="12.75" customHeight="1">
      <c r="B88" s="243" t="s">
        <v>143</v>
      </c>
      <c r="C88" s="157">
        <v>1600</v>
      </c>
      <c r="D88" s="214" t="s">
        <v>16</v>
      </c>
      <c r="E88" s="99">
        <v>10</v>
      </c>
      <c r="F88" s="178" t="s">
        <v>51</v>
      </c>
      <c r="G88" s="157">
        <f t="shared" si="5"/>
        <v>16000</v>
      </c>
    </row>
    <row r="89" spans="2:7" ht="12.75" customHeight="1">
      <c r="B89" s="243" t="s">
        <v>144</v>
      </c>
      <c r="C89" s="157">
        <v>200000</v>
      </c>
      <c r="D89" s="214" t="s">
        <v>16</v>
      </c>
      <c r="E89" s="99">
        <v>1</v>
      </c>
      <c r="F89" s="178" t="s">
        <v>51</v>
      </c>
      <c r="G89" s="157">
        <f t="shared" si="5"/>
        <v>200000</v>
      </c>
    </row>
    <row r="90" spans="2:7" ht="12.75" customHeight="1">
      <c r="B90" s="243" t="s">
        <v>145</v>
      </c>
      <c r="C90" s="157">
        <v>30000</v>
      </c>
      <c r="D90" s="214" t="s">
        <v>16</v>
      </c>
      <c r="E90" s="99">
        <v>1</v>
      </c>
      <c r="F90" s="178" t="s">
        <v>51</v>
      </c>
      <c r="G90" s="157">
        <f t="shared" si="5"/>
        <v>30000</v>
      </c>
    </row>
    <row r="91" spans="2:7" ht="12.75" customHeight="1">
      <c r="B91" s="243" t="s">
        <v>146</v>
      </c>
      <c r="C91" s="157">
        <v>5000</v>
      </c>
      <c r="D91" s="214" t="s">
        <v>16</v>
      </c>
      <c r="E91" s="99">
        <v>1</v>
      </c>
      <c r="F91" s="178" t="s">
        <v>51</v>
      </c>
      <c r="G91" s="157">
        <f t="shared" si="5"/>
        <v>5000</v>
      </c>
    </row>
    <row r="92" spans="2:7" ht="12.75" customHeight="1">
      <c r="B92" s="243" t="s">
        <v>151</v>
      </c>
      <c r="C92" s="157">
        <v>6000</v>
      </c>
      <c r="D92" s="214" t="s">
        <v>16</v>
      </c>
      <c r="E92" s="99">
        <v>1</v>
      </c>
      <c r="F92" s="178" t="s">
        <v>148</v>
      </c>
      <c r="G92" s="157">
        <f t="shared" si="5"/>
        <v>6000</v>
      </c>
    </row>
    <row r="93" spans="2:7" ht="12.75" customHeight="1">
      <c r="B93" s="243" t="s">
        <v>149</v>
      </c>
      <c r="C93" s="157">
        <v>10000</v>
      </c>
      <c r="D93" s="178" t="s">
        <v>16</v>
      </c>
      <c r="E93" s="99">
        <v>2</v>
      </c>
      <c r="F93" s="178" t="s">
        <v>150</v>
      </c>
      <c r="G93" s="157">
        <f t="shared" si="5"/>
        <v>20000</v>
      </c>
    </row>
    <row r="94" spans="2:7" ht="12.75" customHeight="1">
      <c r="B94" s="164" t="s">
        <v>139</v>
      </c>
      <c r="C94" s="188"/>
      <c r="D94" s="189" t="s">
        <v>140</v>
      </c>
      <c r="E94" s="188" t="s">
        <v>140</v>
      </c>
      <c r="F94" s="189" t="s">
        <v>140</v>
      </c>
      <c r="G94" s="159">
        <f>SUM(G87:G93)</f>
        <v>357000</v>
      </c>
    </row>
  </sheetData>
  <mergeCells count="7">
    <mergeCell ref="B73:G73"/>
    <mergeCell ref="B22:G22"/>
    <mergeCell ref="B44:G44"/>
    <mergeCell ref="B71:G71"/>
    <mergeCell ref="B2:G2"/>
    <mergeCell ref="B58:G58"/>
    <mergeCell ref="B46:G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topLeftCell="A3" workbookViewId="0">
      <selection activeCell="N18" sqref="N18"/>
    </sheetView>
  </sheetViews>
  <sheetFormatPr defaultColWidth="8.6640625" defaultRowHeight="12.75" customHeight="1"/>
  <cols>
    <col min="1" max="1" width="4.109375" customWidth="1"/>
    <col min="2" max="2" width="16.44140625" style="106" customWidth="1"/>
    <col min="4" max="4" width="18.109375" customWidth="1"/>
    <col min="5" max="5" width="11.88671875" customWidth="1"/>
    <col min="6" max="6" width="12" customWidth="1"/>
    <col min="7" max="7" width="15.5546875" customWidth="1"/>
    <col min="8" max="8" width="11.5546875" customWidth="1"/>
    <col min="9" max="9" width="13.88671875" customWidth="1"/>
    <col min="10" max="11" width="11.6640625" customWidth="1"/>
    <col min="12" max="12" width="14.33203125" style="106" customWidth="1"/>
    <col min="13" max="13" width="13.6640625" customWidth="1"/>
  </cols>
  <sheetData>
    <row r="1" spans="1:14" s="106" customFormat="1" ht="27.75" customHeight="1">
      <c r="A1" s="485" t="s">
        <v>152</v>
      </c>
      <c r="B1" s="485"/>
      <c r="C1" s="485"/>
      <c r="D1" s="485"/>
      <c r="E1" s="485"/>
      <c r="F1" s="485"/>
    </row>
    <row r="2" spans="1:14" s="106" customFormat="1" ht="13.2">
      <c r="A2" s="54"/>
      <c r="B2" s="486" t="s">
        <v>153</v>
      </c>
      <c r="C2" s="486"/>
      <c r="D2" s="486"/>
      <c r="E2" s="486" t="s">
        <v>154</v>
      </c>
      <c r="F2" s="486"/>
      <c r="G2" s="111"/>
    </row>
    <row r="3" spans="1:14" s="106" customFormat="1" ht="13.2">
      <c r="A3" s="248">
        <v>1</v>
      </c>
      <c r="B3" s="487" t="s">
        <v>155</v>
      </c>
      <c r="C3" s="487"/>
      <c r="D3" s="487"/>
      <c r="E3" s="488">
        <v>600000</v>
      </c>
      <c r="F3" s="488"/>
      <c r="G3" s="111"/>
    </row>
    <row r="4" spans="1:14" s="106" customFormat="1" ht="13.5" customHeight="1">
      <c r="A4" s="116">
        <v>2</v>
      </c>
      <c r="B4" s="489" t="s">
        <v>156</v>
      </c>
      <c r="C4" s="489"/>
      <c r="D4" s="489"/>
      <c r="E4" s="490">
        <v>5500000</v>
      </c>
      <c r="F4" s="490"/>
      <c r="G4" s="111"/>
    </row>
    <row r="5" spans="1:14" s="106" customFormat="1" ht="13.2">
      <c r="A5" s="15"/>
      <c r="B5" s="15"/>
      <c r="C5" s="15"/>
      <c r="D5" s="15"/>
      <c r="E5" s="15"/>
      <c r="F5" s="15"/>
    </row>
    <row r="6" spans="1:14" s="106" customFormat="1" ht="13.2"/>
    <row r="7" spans="1:14" ht="17.25" customHeight="1">
      <c r="A7" s="491" t="s">
        <v>157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106"/>
    </row>
    <row r="8" spans="1:14" ht="10.5" customHeight="1">
      <c r="A8" s="480"/>
      <c r="B8" s="480"/>
      <c r="C8" s="480"/>
      <c r="D8" s="480"/>
      <c r="E8" s="480"/>
      <c r="F8" s="480"/>
      <c r="G8" s="480"/>
      <c r="H8" s="480"/>
      <c r="I8" s="480"/>
      <c r="J8" s="132"/>
      <c r="K8" s="132"/>
      <c r="M8" s="106"/>
      <c r="N8" s="106"/>
    </row>
    <row r="9" spans="1:14" ht="14.25" customHeight="1">
      <c r="A9" s="74"/>
      <c r="B9" s="145"/>
      <c r="C9" s="186"/>
      <c r="D9" s="186"/>
      <c r="E9" s="200" t="s">
        <v>158</v>
      </c>
      <c r="F9" s="200"/>
      <c r="G9" s="117"/>
      <c r="H9" s="117"/>
      <c r="I9" s="95"/>
      <c r="J9" s="193"/>
      <c r="K9" s="193"/>
      <c r="M9" s="106"/>
      <c r="N9" s="106"/>
    </row>
    <row r="10" spans="1:14" ht="30.75" customHeight="1">
      <c r="A10" s="239" t="s">
        <v>159</v>
      </c>
      <c r="B10" s="190" t="s">
        <v>160</v>
      </c>
      <c r="C10" s="103" t="s">
        <v>161</v>
      </c>
      <c r="D10" s="103" t="s">
        <v>162</v>
      </c>
      <c r="E10" s="495" t="s">
        <v>163</v>
      </c>
      <c r="F10" s="495"/>
      <c r="G10" s="79" t="s">
        <v>164</v>
      </c>
      <c r="H10" s="495" t="s">
        <v>165</v>
      </c>
      <c r="I10" s="495"/>
      <c r="J10" s="23"/>
      <c r="K10" s="129"/>
      <c r="M10" s="106"/>
      <c r="N10" s="106"/>
    </row>
    <row r="11" spans="1:14" ht="13.5" customHeight="1">
      <c r="A11" s="202">
        <v>1</v>
      </c>
      <c r="B11" s="166" t="s">
        <v>166</v>
      </c>
      <c r="C11" s="48">
        <v>1</v>
      </c>
      <c r="D11" s="67">
        <v>6250</v>
      </c>
      <c r="E11" s="496">
        <v>10000</v>
      </c>
      <c r="F11" s="496"/>
      <c r="G11" s="67">
        <v>15000</v>
      </c>
      <c r="H11" s="490">
        <f>((C11*D11)/E11)*G11</f>
        <v>9375</v>
      </c>
      <c r="I11" s="490"/>
      <c r="J11" s="115"/>
      <c r="K11" s="18"/>
      <c r="M11" s="106"/>
      <c r="N11" s="106"/>
    </row>
    <row r="12" spans="1:14" ht="13.2">
      <c r="A12" s="38"/>
      <c r="B12" s="71"/>
      <c r="C12" s="38"/>
      <c r="D12" s="38"/>
      <c r="E12" s="38"/>
      <c r="F12" s="38"/>
      <c r="G12" s="38"/>
      <c r="H12" s="38"/>
      <c r="I12" s="40"/>
      <c r="J12" s="142"/>
      <c r="K12" s="142"/>
      <c r="M12" s="106"/>
      <c r="N12" s="106"/>
    </row>
    <row r="13" spans="1:14" ht="13.5" customHeight="1">
      <c r="A13" s="74"/>
      <c r="B13" s="180"/>
      <c r="C13" s="74"/>
      <c r="D13" s="74"/>
      <c r="E13" s="180" t="s">
        <v>167</v>
      </c>
      <c r="F13" s="180"/>
      <c r="G13" s="231"/>
      <c r="H13" s="231"/>
      <c r="I13" s="142"/>
      <c r="J13" s="142"/>
      <c r="K13" s="142"/>
      <c r="M13" s="106"/>
      <c r="N13" s="106"/>
    </row>
    <row r="14" spans="1:14" ht="27" customHeight="1">
      <c r="A14" s="239" t="s">
        <v>159</v>
      </c>
      <c r="B14" s="125" t="s">
        <v>160</v>
      </c>
      <c r="C14" s="226" t="s">
        <v>161</v>
      </c>
      <c r="D14" s="103" t="s">
        <v>168</v>
      </c>
      <c r="E14" s="495" t="s">
        <v>165</v>
      </c>
      <c r="F14" s="495"/>
      <c r="G14" s="111"/>
      <c r="H14" s="106"/>
      <c r="I14" s="106"/>
      <c r="J14" s="27"/>
      <c r="K14" s="27"/>
      <c r="M14" s="106"/>
      <c r="N14" s="106"/>
    </row>
    <row r="15" spans="1:14" ht="13.5" customHeight="1">
      <c r="A15" s="202">
        <v>1</v>
      </c>
      <c r="B15" s="166" t="s">
        <v>166</v>
      </c>
      <c r="C15" s="8">
        <v>1</v>
      </c>
      <c r="D15" s="105">
        <v>4000</v>
      </c>
      <c r="E15" s="490">
        <f>(C15*D15)/12</f>
        <v>333.33333333333331</v>
      </c>
      <c r="F15" s="490"/>
      <c r="G15" s="111"/>
      <c r="H15" s="106"/>
      <c r="I15" s="106"/>
      <c r="J15" s="168"/>
      <c r="K15" s="168"/>
      <c r="M15" s="106"/>
      <c r="N15" s="106"/>
    </row>
    <row r="16" spans="1:14" ht="13.2">
      <c r="A16" s="15"/>
      <c r="B16" s="15"/>
      <c r="C16" s="15"/>
      <c r="D16" s="15"/>
      <c r="E16" s="15"/>
      <c r="F16" s="15"/>
      <c r="G16" s="106"/>
      <c r="H16" s="106"/>
      <c r="I16" s="168"/>
      <c r="J16" s="168"/>
      <c r="K16" s="168"/>
      <c r="L16" s="168"/>
      <c r="M16" s="106"/>
      <c r="N16" s="106"/>
    </row>
    <row r="17" spans="1:14" ht="21.75" customHeight="1">
      <c r="A17" s="74"/>
      <c r="B17" s="180"/>
      <c r="C17" s="180"/>
      <c r="D17" s="180"/>
      <c r="E17" s="186" t="s">
        <v>169</v>
      </c>
      <c r="F17" s="186"/>
      <c r="G17" s="180"/>
      <c r="H17" s="180"/>
      <c r="I17" s="180"/>
      <c r="J17" s="180"/>
      <c r="K17" s="180"/>
      <c r="L17" s="158"/>
      <c r="M17" s="106"/>
      <c r="N17" s="106"/>
    </row>
    <row r="18" spans="1:14" ht="42" customHeight="1">
      <c r="A18" s="124" t="s">
        <v>159</v>
      </c>
      <c r="B18" s="114" t="s">
        <v>160</v>
      </c>
      <c r="C18" s="114" t="s">
        <v>161</v>
      </c>
      <c r="D18" s="114" t="s">
        <v>170</v>
      </c>
      <c r="E18" s="114" t="s">
        <v>171</v>
      </c>
      <c r="F18" s="114" t="s">
        <v>172</v>
      </c>
      <c r="G18" s="114" t="s">
        <v>173</v>
      </c>
      <c r="H18" s="114" t="s">
        <v>174</v>
      </c>
      <c r="I18" s="114" t="s">
        <v>175</v>
      </c>
      <c r="J18" s="114" t="s">
        <v>176</v>
      </c>
      <c r="K18" s="114" t="s">
        <v>177</v>
      </c>
      <c r="L18" s="212" t="s">
        <v>178</v>
      </c>
      <c r="M18" s="215"/>
      <c r="N18" s="106"/>
    </row>
    <row r="19" spans="1:14" ht="17.25" customHeight="1">
      <c r="A19" s="205">
        <v>1</v>
      </c>
      <c r="B19" s="29" t="s">
        <v>166</v>
      </c>
      <c r="C19" s="230">
        <v>1</v>
      </c>
      <c r="D19" s="230">
        <v>200</v>
      </c>
      <c r="E19" s="147">
        <v>9</v>
      </c>
      <c r="F19" s="147">
        <f>((D19*E19)*2)/100</f>
        <v>36</v>
      </c>
      <c r="G19" s="229">
        <v>14</v>
      </c>
      <c r="H19" s="229">
        <v>0.5</v>
      </c>
      <c r="I19" s="147">
        <f>G19*H19</f>
        <v>7</v>
      </c>
      <c r="J19" s="147">
        <f>F19+I19</f>
        <v>43</v>
      </c>
      <c r="K19" s="147">
        <v>30</v>
      </c>
      <c r="L19" s="181">
        <f>(J19*K19)*C19</f>
        <v>1290</v>
      </c>
      <c r="M19" s="215"/>
      <c r="N19" s="26"/>
    </row>
    <row r="20" spans="1:14" ht="16.5" customHeight="1">
      <c r="A20" s="205">
        <v>3</v>
      </c>
      <c r="B20" s="481" t="s">
        <v>179</v>
      </c>
      <c r="C20" s="482"/>
      <c r="D20" s="482"/>
      <c r="E20" s="482"/>
      <c r="F20" s="483"/>
      <c r="G20" s="229"/>
      <c r="H20" s="229"/>
      <c r="I20" s="147"/>
      <c r="J20" s="147"/>
      <c r="K20" s="147"/>
      <c r="L20" s="181">
        <f>(L19)*0.09</f>
        <v>116.1</v>
      </c>
      <c r="M20" s="215"/>
      <c r="N20" s="26"/>
    </row>
    <row r="21" spans="1:14" ht="15" customHeight="1">
      <c r="A21" s="227"/>
      <c r="B21" s="484" t="s">
        <v>180</v>
      </c>
      <c r="C21" s="484"/>
      <c r="D21" s="484"/>
      <c r="E21" s="484"/>
      <c r="F21" s="484"/>
      <c r="G21" s="484"/>
      <c r="H21" s="484"/>
      <c r="I21" s="484"/>
      <c r="J21" s="94"/>
      <c r="K21" s="94"/>
      <c r="L21" s="30">
        <f>SUM(L19:L20)</f>
        <v>1406.1</v>
      </c>
      <c r="M21" s="215"/>
      <c r="N21" s="106"/>
    </row>
    <row r="22" spans="1:14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6"/>
      <c r="M22" s="106"/>
      <c r="N22" s="106"/>
    </row>
    <row r="23" spans="1:14" ht="13.5" customHeight="1">
      <c r="A23" s="145"/>
      <c r="B23" s="145"/>
      <c r="C23" s="145"/>
      <c r="D23" s="145"/>
      <c r="E23" s="145" t="s">
        <v>181</v>
      </c>
      <c r="F23" s="145"/>
      <c r="G23" s="145"/>
      <c r="H23" s="145"/>
      <c r="I23" s="145"/>
      <c r="J23" s="106"/>
      <c r="K23" s="106"/>
      <c r="M23" s="106"/>
      <c r="N23" s="106"/>
    </row>
    <row r="24" spans="1:14" ht="39" customHeight="1">
      <c r="A24" s="239" t="s">
        <v>159</v>
      </c>
      <c r="B24" s="125" t="s">
        <v>160</v>
      </c>
      <c r="C24" s="226" t="s">
        <v>161</v>
      </c>
      <c r="D24" s="103" t="s">
        <v>182</v>
      </c>
      <c r="E24" s="495" t="s">
        <v>183</v>
      </c>
      <c r="F24" s="495"/>
      <c r="G24" s="103" t="s">
        <v>184</v>
      </c>
      <c r="H24" s="103" t="s">
        <v>185</v>
      </c>
      <c r="I24" s="86" t="s">
        <v>186</v>
      </c>
      <c r="J24" s="69"/>
      <c r="K24" s="27"/>
      <c r="M24" s="106"/>
      <c r="N24" s="106"/>
    </row>
    <row r="25" spans="1:14" ht="13.5" customHeight="1">
      <c r="A25" s="96">
        <v>1</v>
      </c>
      <c r="B25" s="166" t="s">
        <v>166</v>
      </c>
      <c r="C25" s="8">
        <v>1</v>
      </c>
      <c r="D25" s="105">
        <v>4</v>
      </c>
      <c r="E25" s="490">
        <v>44000</v>
      </c>
      <c r="F25" s="490"/>
      <c r="G25" s="201">
        <f>2*D19</f>
        <v>400</v>
      </c>
      <c r="H25" s="201">
        <v>5000</v>
      </c>
      <c r="I25" s="228">
        <f>(((C25*D25)*G25)/E25)*H25</f>
        <v>181.81818181818181</v>
      </c>
      <c r="J25" s="199"/>
      <c r="K25" s="168"/>
      <c r="M25" s="106"/>
      <c r="N25" s="106"/>
    </row>
    <row r="26" spans="1:14" ht="13.2">
      <c r="A26" s="231"/>
      <c r="B26" s="71"/>
      <c r="C26" s="71"/>
      <c r="D26" s="71"/>
      <c r="E26" s="71"/>
      <c r="F26" s="71"/>
      <c r="G26" s="71"/>
      <c r="H26" s="71"/>
      <c r="I26" s="171"/>
      <c r="J26" s="59"/>
      <c r="K26" s="59"/>
      <c r="M26" s="106"/>
      <c r="N26" s="106"/>
    </row>
    <row r="27" spans="1:14" ht="13.2">
      <c r="A27" s="106"/>
      <c r="C27" s="106"/>
      <c r="D27" s="106"/>
      <c r="E27" s="497" t="s">
        <v>187</v>
      </c>
      <c r="F27" s="497"/>
      <c r="G27" s="28" t="s">
        <v>188</v>
      </c>
      <c r="H27" s="28" t="s">
        <v>189</v>
      </c>
      <c r="I27" s="28"/>
      <c r="J27" s="106"/>
      <c r="K27" s="106"/>
      <c r="M27" s="106"/>
      <c r="N27" s="106"/>
    </row>
    <row r="28" spans="1:14" ht="13.2">
      <c r="A28" s="106"/>
      <c r="B28" s="492" t="s">
        <v>190</v>
      </c>
      <c r="C28" s="492"/>
      <c r="D28" s="492"/>
      <c r="E28" s="493">
        <v>6</v>
      </c>
      <c r="F28" s="493"/>
      <c r="G28" s="107">
        <f>L21</f>
        <v>1406.1</v>
      </c>
      <c r="H28" s="44">
        <f>I25</f>
        <v>181.81818181818181</v>
      </c>
      <c r="I28" s="47">
        <f>E28*(G28+H28)</f>
        <v>9527.5090909090904</v>
      </c>
      <c r="J28" s="106"/>
      <c r="K28" s="106"/>
      <c r="M28" s="106"/>
      <c r="N28" s="106"/>
    </row>
    <row r="29" spans="1:14" ht="13.2">
      <c r="A29" s="106"/>
      <c r="C29" s="106"/>
      <c r="D29" s="106"/>
      <c r="E29" s="106"/>
      <c r="F29" s="106"/>
      <c r="G29" s="106"/>
      <c r="H29" s="106"/>
      <c r="I29" s="106"/>
      <c r="J29" s="106"/>
      <c r="K29" s="106"/>
      <c r="M29" s="106"/>
      <c r="N29" s="106"/>
    </row>
    <row r="30" spans="1:14" ht="15" customHeight="1">
      <c r="A30" s="106"/>
      <c r="B30" s="494" t="s">
        <v>191</v>
      </c>
      <c r="C30" s="494"/>
      <c r="D30" s="494"/>
      <c r="E30" s="494"/>
      <c r="F30" s="494"/>
      <c r="G30" s="211">
        <f>(H11+E15)+I28</f>
        <v>19235.842424242423</v>
      </c>
      <c r="H30" s="106"/>
      <c r="I30" s="106"/>
      <c r="J30" s="106"/>
      <c r="K30" s="106"/>
      <c r="M30" s="106"/>
      <c r="N30" s="106"/>
    </row>
    <row r="31" spans="1:14" ht="13.2">
      <c r="A31" s="106"/>
      <c r="C31" s="106"/>
      <c r="D31" s="106"/>
      <c r="E31" s="106"/>
      <c r="F31" s="106"/>
      <c r="G31" s="106"/>
      <c r="H31" s="106"/>
      <c r="I31" s="106"/>
      <c r="J31" s="106"/>
      <c r="K31" s="106"/>
      <c r="M31" s="106"/>
      <c r="N31" s="106"/>
    </row>
    <row r="32" spans="1:14" ht="26.25" customHeight="1">
      <c r="A32" s="491" t="s">
        <v>192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106"/>
      <c r="N32" s="106"/>
    </row>
    <row r="33" spans="1:14" ht="13.2">
      <c r="A33" s="106"/>
      <c r="C33" s="106"/>
      <c r="D33" s="106"/>
      <c r="E33" s="106"/>
      <c r="F33" s="106"/>
      <c r="G33" s="106"/>
      <c r="H33" s="106"/>
      <c r="I33" s="106"/>
      <c r="J33" s="106"/>
      <c r="K33" s="106"/>
      <c r="M33" s="106"/>
      <c r="N33" s="106"/>
    </row>
    <row r="34" spans="1:14" ht="14.25" customHeight="1">
      <c r="A34" s="74"/>
      <c r="B34" s="145"/>
      <c r="C34" s="186"/>
      <c r="D34" s="186"/>
      <c r="E34" s="200" t="s">
        <v>158</v>
      </c>
      <c r="F34" s="200"/>
      <c r="G34" s="117"/>
      <c r="H34" s="117"/>
      <c r="I34" s="95"/>
      <c r="J34" s="193"/>
      <c r="K34" s="193"/>
      <c r="M34" s="106"/>
      <c r="N34" s="106"/>
    </row>
    <row r="35" spans="1:14" ht="27" customHeight="1">
      <c r="A35" s="239" t="s">
        <v>159</v>
      </c>
      <c r="B35" s="190" t="s">
        <v>160</v>
      </c>
      <c r="C35" s="103" t="s">
        <v>161</v>
      </c>
      <c r="D35" s="103" t="s">
        <v>162</v>
      </c>
      <c r="E35" s="495" t="s">
        <v>163</v>
      </c>
      <c r="F35" s="495"/>
      <c r="G35" s="79" t="s">
        <v>164</v>
      </c>
      <c r="H35" s="495" t="s">
        <v>165</v>
      </c>
      <c r="I35" s="495"/>
      <c r="J35" s="23"/>
      <c r="K35" s="129"/>
      <c r="M35" s="106"/>
      <c r="N35" s="106"/>
    </row>
    <row r="36" spans="1:14" ht="13.5" customHeight="1">
      <c r="A36" s="96">
        <v>2</v>
      </c>
      <c r="B36" s="166" t="s">
        <v>193</v>
      </c>
      <c r="C36" s="48">
        <v>1</v>
      </c>
      <c r="D36" s="67">
        <v>2400</v>
      </c>
      <c r="E36" s="496">
        <v>10000</v>
      </c>
      <c r="F36" s="496"/>
      <c r="G36" s="67">
        <v>30000</v>
      </c>
      <c r="H36" s="490">
        <f>((C36*D36)/E36)*G36</f>
        <v>7200</v>
      </c>
      <c r="I36" s="490"/>
      <c r="J36" s="115"/>
      <c r="K36" s="18"/>
      <c r="M36" s="106"/>
      <c r="N36" s="106"/>
    </row>
    <row r="37" spans="1:14" ht="13.2">
      <c r="A37" s="231"/>
      <c r="B37" s="71"/>
      <c r="C37" s="38"/>
      <c r="D37" s="38"/>
      <c r="E37" s="38"/>
      <c r="F37" s="38"/>
      <c r="G37" s="38"/>
      <c r="H37" s="38"/>
      <c r="I37" s="40"/>
      <c r="J37" s="142"/>
      <c r="K37" s="142"/>
      <c r="M37" s="106"/>
      <c r="N37" s="106"/>
    </row>
    <row r="38" spans="1:14" ht="13.5" customHeight="1">
      <c r="A38" s="74"/>
      <c r="B38" s="180"/>
      <c r="C38" s="74"/>
      <c r="D38" s="74"/>
      <c r="E38" s="180" t="s">
        <v>167</v>
      </c>
      <c r="F38" s="180"/>
      <c r="G38" s="231"/>
      <c r="H38" s="231"/>
      <c r="I38" s="142"/>
      <c r="J38" s="142"/>
      <c r="K38" s="142"/>
      <c r="M38" s="106"/>
      <c r="N38" s="106"/>
    </row>
    <row r="39" spans="1:14" ht="27" customHeight="1">
      <c r="A39" s="239" t="s">
        <v>159</v>
      </c>
      <c r="B39" s="125" t="s">
        <v>160</v>
      </c>
      <c r="C39" s="226" t="s">
        <v>161</v>
      </c>
      <c r="D39" s="103" t="s">
        <v>168</v>
      </c>
      <c r="E39" s="495" t="s">
        <v>165</v>
      </c>
      <c r="F39" s="495"/>
      <c r="G39" s="111"/>
      <c r="H39" s="106"/>
      <c r="I39" s="106"/>
      <c r="J39" s="27"/>
      <c r="K39" s="27"/>
      <c r="M39" s="106"/>
      <c r="N39" s="106"/>
    </row>
    <row r="40" spans="1:14" ht="13.5" customHeight="1">
      <c r="A40" s="96">
        <v>2</v>
      </c>
      <c r="B40" s="166" t="s">
        <v>193</v>
      </c>
      <c r="C40" s="8">
        <v>1</v>
      </c>
      <c r="D40" s="105">
        <v>15600</v>
      </c>
      <c r="E40" s="490">
        <f>(C40*D40)/12</f>
        <v>1300</v>
      </c>
      <c r="F40" s="490"/>
      <c r="G40" s="111"/>
      <c r="H40" s="106"/>
      <c r="I40" s="106"/>
      <c r="J40" s="168"/>
      <c r="K40" s="168"/>
      <c r="M40" s="106"/>
      <c r="N40" s="106"/>
    </row>
    <row r="41" spans="1:14" ht="13.2">
      <c r="A41" s="106"/>
      <c r="B41" s="15"/>
      <c r="C41" s="15"/>
      <c r="D41" s="15"/>
      <c r="E41" s="15"/>
      <c r="F41" s="15"/>
      <c r="G41" s="106"/>
      <c r="H41" s="106"/>
      <c r="I41" s="168"/>
      <c r="J41" s="168"/>
      <c r="K41" s="168"/>
      <c r="L41" s="168"/>
      <c r="M41" s="106"/>
      <c r="N41" s="106"/>
    </row>
    <row r="42" spans="1:14" ht="14.25" customHeight="1">
      <c r="A42" s="74"/>
      <c r="B42" s="180"/>
      <c r="C42" s="180"/>
      <c r="D42" s="180"/>
      <c r="E42" s="186" t="s">
        <v>169</v>
      </c>
      <c r="F42" s="186"/>
      <c r="G42" s="180"/>
      <c r="H42" s="180"/>
      <c r="I42" s="180"/>
      <c r="J42" s="180"/>
      <c r="K42" s="180"/>
      <c r="L42" s="158"/>
      <c r="M42" s="106"/>
      <c r="N42" s="106"/>
    </row>
    <row r="43" spans="1:14" ht="54.75" customHeight="1">
      <c r="A43" s="124" t="s">
        <v>159</v>
      </c>
      <c r="B43" s="114" t="s">
        <v>160</v>
      </c>
      <c r="C43" s="114" t="s">
        <v>161</v>
      </c>
      <c r="D43" s="114" t="s">
        <v>170</v>
      </c>
      <c r="E43" s="114" t="s">
        <v>171</v>
      </c>
      <c r="F43" s="114" t="s">
        <v>172</v>
      </c>
      <c r="G43" s="114" t="s">
        <v>173</v>
      </c>
      <c r="H43" s="114" t="s">
        <v>174</v>
      </c>
      <c r="I43" s="114" t="s">
        <v>175</v>
      </c>
      <c r="J43" s="114" t="s">
        <v>176</v>
      </c>
      <c r="K43" s="114" t="s">
        <v>177</v>
      </c>
      <c r="L43" s="212" t="s">
        <v>178</v>
      </c>
      <c r="M43" s="215"/>
      <c r="N43" s="106"/>
    </row>
    <row r="44" spans="1:14" ht="13.2">
      <c r="A44" s="205">
        <v>2</v>
      </c>
      <c r="B44" s="29" t="s">
        <v>193</v>
      </c>
      <c r="C44" s="230">
        <v>1</v>
      </c>
      <c r="D44" s="230">
        <v>200</v>
      </c>
      <c r="E44" s="147">
        <v>36</v>
      </c>
      <c r="F44" s="147">
        <f>((D44*E44)*2)/100</f>
        <v>144</v>
      </c>
      <c r="G44" s="229">
        <v>14</v>
      </c>
      <c r="H44" s="229">
        <v>4</v>
      </c>
      <c r="I44" s="147">
        <f>G44*H44</f>
        <v>56</v>
      </c>
      <c r="J44" s="147">
        <f>F44+I44</f>
        <v>200</v>
      </c>
      <c r="K44" s="147">
        <v>28</v>
      </c>
      <c r="L44" s="181">
        <f>(J44*K44)*C44</f>
        <v>5600</v>
      </c>
      <c r="M44" s="215"/>
      <c r="N44" s="106"/>
    </row>
    <row r="45" spans="1:14" ht="13.2">
      <c r="A45" s="205">
        <v>3</v>
      </c>
      <c r="B45" s="481" t="s">
        <v>179</v>
      </c>
      <c r="C45" s="482"/>
      <c r="D45" s="482"/>
      <c r="E45" s="482"/>
      <c r="F45" s="483"/>
      <c r="G45" s="229"/>
      <c r="H45" s="229"/>
      <c r="I45" s="147"/>
      <c r="J45" s="147"/>
      <c r="K45" s="147"/>
      <c r="L45" s="181">
        <f>(L44)*0.09</f>
        <v>504</v>
      </c>
      <c r="M45" s="215"/>
      <c r="N45" s="106"/>
    </row>
    <row r="46" spans="1:14" ht="13.5" customHeight="1">
      <c r="A46" s="227"/>
      <c r="B46" s="484" t="s">
        <v>180</v>
      </c>
      <c r="C46" s="484"/>
      <c r="D46" s="484"/>
      <c r="E46" s="484"/>
      <c r="F46" s="484"/>
      <c r="G46" s="484"/>
      <c r="H46" s="484"/>
      <c r="I46" s="484"/>
      <c r="J46" s="94"/>
      <c r="K46" s="94"/>
      <c r="L46" s="30">
        <f>SUM(L44:L45)</f>
        <v>6104</v>
      </c>
      <c r="M46" s="215"/>
      <c r="N46" s="106"/>
    </row>
    <row r="47" spans="1:14" ht="13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46"/>
      <c r="M47" s="106"/>
      <c r="N47" s="106"/>
    </row>
    <row r="48" spans="1:14" ht="13.5" customHeight="1">
      <c r="A48" s="145"/>
      <c r="B48" s="145"/>
      <c r="C48" s="145"/>
      <c r="D48" s="145"/>
      <c r="E48" s="173" t="s">
        <v>181</v>
      </c>
      <c r="F48" s="145"/>
      <c r="G48" s="145"/>
      <c r="H48" s="145"/>
      <c r="I48" s="145"/>
      <c r="J48" s="106"/>
      <c r="K48" s="106"/>
      <c r="M48" s="106"/>
      <c r="N48" s="106"/>
    </row>
    <row r="49" spans="1:14" ht="39" customHeight="1">
      <c r="A49" s="239" t="s">
        <v>159</v>
      </c>
      <c r="B49" s="125" t="s">
        <v>160</v>
      </c>
      <c r="C49" s="226" t="s">
        <v>161</v>
      </c>
      <c r="D49" s="103" t="s">
        <v>182</v>
      </c>
      <c r="E49" s="495" t="s">
        <v>183</v>
      </c>
      <c r="F49" s="495"/>
      <c r="G49" s="103" t="s">
        <v>184</v>
      </c>
      <c r="H49" s="103" t="s">
        <v>185</v>
      </c>
      <c r="I49" s="86" t="s">
        <v>186</v>
      </c>
      <c r="J49" s="69"/>
      <c r="K49" s="27"/>
      <c r="M49" s="106"/>
      <c r="N49" s="106"/>
    </row>
    <row r="50" spans="1:14" ht="13.5" customHeight="1">
      <c r="A50" s="96">
        <v>2</v>
      </c>
      <c r="B50" s="166" t="s">
        <v>193</v>
      </c>
      <c r="C50" s="8">
        <v>1</v>
      </c>
      <c r="D50" s="105">
        <v>6</v>
      </c>
      <c r="E50" s="490">
        <v>44000</v>
      </c>
      <c r="F50" s="490"/>
      <c r="G50" s="201">
        <f>2*D44</f>
        <v>400</v>
      </c>
      <c r="H50" s="201">
        <v>10000</v>
      </c>
      <c r="I50" s="228">
        <f>(((C50*D50)*G50)/E50)*H50</f>
        <v>545.45454545454538</v>
      </c>
      <c r="J50" s="199"/>
      <c r="K50" s="168"/>
      <c r="M50" s="106"/>
      <c r="N50" s="106"/>
    </row>
    <row r="51" spans="1:14" ht="13.2">
      <c r="A51" s="231"/>
      <c r="B51" s="71"/>
      <c r="C51" s="71"/>
      <c r="D51" s="71"/>
      <c r="E51" s="71"/>
      <c r="F51" s="71"/>
      <c r="G51" s="71"/>
      <c r="H51" s="71"/>
      <c r="I51" s="171"/>
      <c r="J51" s="59"/>
      <c r="K51" s="59"/>
      <c r="M51" s="106"/>
      <c r="N51" s="106"/>
    </row>
    <row r="52" spans="1:14" ht="13.2">
      <c r="A52" s="106"/>
      <c r="C52" s="106"/>
      <c r="D52" s="106"/>
      <c r="E52" s="497" t="s">
        <v>187</v>
      </c>
      <c r="F52" s="497"/>
      <c r="G52" s="28" t="s">
        <v>188</v>
      </c>
      <c r="H52" s="28" t="s">
        <v>189</v>
      </c>
      <c r="I52" s="28"/>
      <c r="J52" s="106"/>
      <c r="K52" s="106"/>
      <c r="M52" s="106"/>
      <c r="N52" s="106"/>
    </row>
    <row r="53" spans="1:14" ht="13.2">
      <c r="A53" s="106"/>
      <c r="B53" s="492" t="s">
        <v>190</v>
      </c>
      <c r="C53" s="492"/>
      <c r="D53" s="492"/>
      <c r="E53" s="493">
        <v>6</v>
      </c>
      <c r="F53" s="493"/>
      <c r="G53" s="107">
        <f>L46</f>
        <v>6104</v>
      </c>
      <c r="H53" s="44">
        <f>I50</f>
        <v>545.45454545454538</v>
      </c>
      <c r="I53" s="47">
        <f>E53*(G53+H53)</f>
        <v>39896.727272727272</v>
      </c>
      <c r="J53" s="106"/>
      <c r="K53" s="106"/>
      <c r="M53" s="106"/>
      <c r="N53" s="106"/>
    </row>
    <row r="54" spans="1:14" ht="13.2">
      <c r="A54" s="106"/>
      <c r="C54" s="106"/>
      <c r="D54" s="106"/>
      <c r="E54" s="106"/>
      <c r="F54" s="106"/>
      <c r="G54" s="106"/>
      <c r="H54" s="106"/>
      <c r="I54" s="106"/>
      <c r="J54" s="106"/>
      <c r="K54" s="106"/>
      <c r="M54" s="106"/>
      <c r="N54" s="106"/>
    </row>
    <row r="55" spans="1:14" ht="15" customHeight="1">
      <c r="A55" s="106"/>
      <c r="B55" s="494" t="s">
        <v>194</v>
      </c>
      <c r="C55" s="494"/>
      <c r="D55" s="494"/>
      <c r="E55" s="494"/>
      <c r="F55" s="494"/>
      <c r="G55" s="126">
        <f>(H36+E40)+I53</f>
        <v>48396.727272727272</v>
      </c>
      <c r="H55" s="106"/>
      <c r="I55" s="106"/>
      <c r="J55" s="106"/>
      <c r="K55" s="106"/>
      <c r="M55" s="106"/>
      <c r="N55" s="106"/>
    </row>
  </sheetData>
  <mergeCells count="38">
    <mergeCell ref="B55:F55"/>
    <mergeCell ref="E39:F39"/>
    <mergeCell ref="E40:F40"/>
    <mergeCell ref="B45:F45"/>
    <mergeCell ref="B46:I46"/>
    <mergeCell ref="E49:F49"/>
    <mergeCell ref="E50:F50"/>
    <mergeCell ref="E52:F52"/>
    <mergeCell ref="B53:D53"/>
    <mergeCell ref="E53:F53"/>
    <mergeCell ref="E35:F35"/>
    <mergeCell ref="H35:I35"/>
    <mergeCell ref="E36:F36"/>
    <mergeCell ref="H36:I36"/>
    <mergeCell ref="E24:F24"/>
    <mergeCell ref="E25:F25"/>
    <mergeCell ref="E27:F27"/>
    <mergeCell ref="B28:D28"/>
    <mergeCell ref="E28:F28"/>
    <mergeCell ref="B30:F30"/>
    <mergeCell ref="A32:L32"/>
    <mergeCell ref="E10:F10"/>
    <mergeCell ref="H10:I10"/>
    <mergeCell ref="E11:F11"/>
    <mergeCell ref="H11:I11"/>
    <mergeCell ref="E14:F14"/>
    <mergeCell ref="E15:F15"/>
    <mergeCell ref="A8:I8"/>
    <mergeCell ref="B20:F20"/>
    <mergeCell ref="B21:I21"/>
    <mergeCell ref="A1:F1"/>
    <mergeCell ref="B2:D2"/>
    <mergeCell ref="E2:F2"/>
    <mergeCell ref="B3:D3"/>
    <mergeCell ref="E3:F3"/>
    <mergeCell ref="B4:D4"/>
    <mergeCell ref="E4:F4"/>
    <mergeCell ref="A7:M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ПЗ</vt:lpstr>
      <vt:lpstr>Исходные данные</vt:lpstr>
      <vt:lpstr>Результаты</vt:lpstr>
      <vt:lpstr>Расчёты</vt:lpstr>
      <vt:lpstr>Расчёты по годам</vt:lpstr>
      <vt:lpstr>Персонал</vt:lpstr>
      <vt:lpstr>Оборудование</vt:lpstr>
      <vt:lpstr>База</vt:lpstr>
      <vt:lpstr>Транспорт</vt:lpstr>
      <vt:lpstr>Лизинг</vt:lpstr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Салтыков А.А.</cp:lastModifiedBy>
  <cp:lastPrinted>2013-01-28T06:30:25Z</cp:lastPrinted>
  <dcterms:created xsi:type="dcterms:W3CDTF">2013-01-13T19:14:08Z</dcterms:created>
  <dcterms:modified xsi:type="dcterms:W3CDTF">2013-05-23T12:56:56Z</dcterms:modified>
</cp:coreProperties>
</file>